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8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Default Extension="jpeg" ContentType="image/jpeg"/>
  <Override PartName="/xl/charts/chart3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11910" yWindow="135" windowWidth="13155" windowHeight="12180" tabRatio="923"/>
  </bookViews>
  <sheets>
    <sheet name="Annual Energy Production" sheetId="111" r:id="rId1"/>
    <sheet name="Economics Standard IF" sheetId="110" r:id="rId2"/>
    <sheet name="Economics Half IF" sheetId="112" r:id="rId3"/>
    <sheet name="Economics No IF" sheetId="113" r:id="rId4"/>
    <sheet name="Hunts Mill Options" sheetId="114" r:id="rId5"/>
    <sheet name="Summary - Cash" sheetId="78" r:id="rId6"/>
    <sheet name="Energy" sheetId="59" r:id="rId7"/>
    <sheet name="Proforma A" sheetId="57" r:id="rId8"/>
    <sheet name="Proforma B" sheetId="58" r:id="rId9"/>
    <sheet name="Proforma B (no min flow)" sheetId="97" r:id="rId10"/>
    <sheet name="Proforma B (1-2 min flow)" sheetId="94" r:id="rId11"/>
    <sheet name="Proforma C" sheetId="5" r:id="rId12"/>
    <sheet name="Proforma C (no min flow)" sheetId="98" r:id="rId13"/>
    <sheet name="Proforma C (1-2 min flow)" sheetId="95" r:id="rId14"/>
    <sheet name="Proforma C-2" sheetId="90" r:id="rId15"/>
    <sheet name="Proforma D" sheetId="62" r:id="rId16"/>
    <sheet name="Proforma E" sheetId="75" r:id="rId17"/>
    <sheet name="Proforma E (no min flow)" sheetId="99" r:id="rId18"/>
    <sheet name="Proforma E (1-2 min flow)" sheetId="96" r:id="rId19"/>
    <sheet name="Proforma E-2" sheetId="92" r:id="rId20"/>
    <sheet name="Proforma E-2 (no min flow)" sheetId="117" r:id="rId21"/>
    <sheet name="Proforma E-3" sheetId="93" r:id="rId22"/>
    <sheet name="Proforma F" sheetId="76" r:id="rId23"/>
    <sheet name="Costs A" sheetId="40" r:id="rId24"/>
    <sheet name="Costs B" sheetId="74" r:id="rId25"/>
    <sheet name="Costs B (1-2 min flow)" sheetId="101" r:id="rId26"/>
    <sheet name="Costs B (no min flow)" sheetId="102" r:id="rId27"/>
    <sheet name="Costs C" sheetId="80" r:id="rId28"/>
    <sheet name="Costs C (1-2 min flow)" sheetId="103" r:id="rId29"/>
    <sheet name="Costs C (no min flow)" sheetId="104" r:id="rId30"/>
    <sheet name="Costs C - Francis Refurb" sheetId="85" r:id="rId31"/>
    <sheet name="Costs D" sheetId="83" r:id="rId32"/>
    <sheet name="Costs E" sheetId="81" r:id="rId33"/>
    <sheet name="Costs E (1-2 min flow)" sheetId="105" r:id="rId34"/>
    <sheet name="Costs E (no min flow)" sheetId="106" r:id="rId35"/>
    <sheet name="Costs E - Francis Repowered" sheetId="86" r:id="rId36"/>
    <sheet name="CostsE-FrancisRepow-no min flow" sheetId="116" r:id="rId37"/>
    <sheet name="Costs E - Francis Restored" sheetId="89" r:id="rId38"/>
    <sheet name="Costs F" sheetId="84" r:id="rId39"/>
    <sheet name="Costs Min Flow Unit" sheetId="79" r:id="rId40"/>
    <sheet name="Phase I Dam Repairs" sheetId="35" r:id="rId41"/>
    <sheet name="Penstock Costs" sheetId="109" r:id="rId42"/>
    <sheet name="Pwrhse Cost Estimator" sheetId="108" r:id="rId43"/>
    <sheet name="TG Costs" sheetId="66" r:id="rId44"/>
    <sheet name="Regulatory Costs" sheetId="115" r:id="rId45"/>
    <sheet name="Interconnect Costs" sheetId="77" r:id="rId46"/>
  </sheets>
  <externalReferences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gen50" localSheetId="0">#REF!</definedName>
    <definedName name="_gen50" localSheetId="24">#REF!</definedName>
    <definedName name="_gen50" localSheetId="25">#REF!</definedName>
    <definedName name="_gen50" localSheetId="26">#REF!</definedName>
    <definedName name="_gen50" localSheetId="27">#REF!</definedName>
    <definedName name="_gen50" localSheetId="30">#REF!</definedName>
    <definedName name="_gen50" localSheetId="28">#REF!</definedName>
    <definedName name="_gen50" localSheetId="29">#REF!</definedName>
    <definedName name="_gen50" localSheetId="31">#REF!</definedName>
    <definedName name="_gen50" localSheetId="32">#REF!</definedName>
    <definedName name="_gen50" localSheetId="35">#REF!</definedName>
    <definedName name="_gen50" localSheetId="37">#REF!</definedName>
    <definedName name="_gen50" localSheetId="33">#REF!</definedName>
    <definedName name="_gen50" localSheetId="34">#REF!</definedName>
    <definedName name="_gen50" localSheetId="38">#REF!</definedName>
    <definedName name="_gen50" localSheetId="39">#REF!</definedName>
    <definedName name="_gen50" localSheetId="36">#REF!</definedName>
    <definedName name="_gen50" localSheetId="2">#REF!</definedName>
    <definedName name="_gen50" localSheetId="3">#REF!</definedName>
    <definedName name="_gen50" localSheetId="4">#REF!</definedName>
    <definedName name="_gen50" localSheetId="10">#REF!</definedName>
    <definedName name="_gen50" localSheetId="9">#REF!</definedName>
    <definedName name="_gen50" localSheetId="13">#REF!</definedName>
    <definedName name="_gen50" localSheetId="12">#REF!</definedName>
    <definedName name="_gen50" localSheetId="14">#REF!</definedName>
    <definedName name="_gen50" localSheetId="16">#REF!</definedName>
    <definedName name="_gen50" localSheetId="18">#REF!</definedName>
    <definedName name="_gen50" localSheetId="17">#REF!</definedName>
    <definedName name="_gen50" localSheetId="19">#REF!</definedName>
    <definedName name="_gen50" localSheetId="20">#REF!</definedName>
    <definedName name="_gen50" localSheetId="21">#REF!</definedName>
    <definedName name="_gen50" localSheetId="22">#REF!</definedName>
    <definedName name="_gen50" localSheetId="5">#REF!</definedName>
    <definedName name="_gen50" localSheetId="43">#REF!</definedName>
    <definedName name="_gen50">#REF!</definedName>
    <definedName name="avg" localSheetId="0">#REF!</definedName>
    <definedName name="avg" localSheetId="24">#REF!</definedName>
    <definedName name="avg" localSheetId="25">#REF!</definedName>
    <definedName name="avg" localSheetId="26">#REF!</definedName>
    <definedName name="avg" localSheetId="27">#REF!</definedName>
    <definedName name="avg" localSheetId="30">#REF!</definedName>
    <definedName name="avg" localSheetId="28">#REF!</definedName>
    <definedName name="avg" localSheetId="29">#REF!</definedName>
    <definedName name="avg" localSheetId="31">#REF!</definedName>
    <definedName name="avg" localSheetId="32">#REF!</definedName>
    <definedName name="avg" localSheetId="35">#REF!</definedName>
    <definedName name="avg" localSheetId="37">#REF!</definedName>
    <definedName name="avg" localSheetId="33">#REF!</definedName>
    <definedName name="avg" localSheetId="34">#REF!</definedName>
    <definedName name="avg" localSheetId="38">#REF!</definedName>
    <definedName name="avg" localSheetId="39">#REF!</definedName>
    <definedName name="avg" localSheetId="36">#REF!</definedName>
    <definedName name="avg" localSheetId="2">#REF!</definedName>
    <definedName name="avg" localSheetId="3">#REF!</definedName>
    <definedName name="avg" localSheetId="4">#REF!</definedName>
    <definedName name="avg" localSheetId="10">#REF!</definedName>
    <definedName name="avg" localSheetId="9">#REF!</definedName>
    <definedName name="avg" localSheetId="13">#REF!</definedName>
    <definedName name="avg" localSheetId="12">#REF!</definedName>
    <definedName name="avg" localSheetId="14">#REF!</definedName>
    <definedName name="avg" localSheetId="16">#REF!</definedName>
    <definedName name="avg" localSheetId="18">#REF!</definedName>
    <definedName name="avg" localSheetId="17">#REF!</definedName>
    <definedName name="avg" localSheetId="19">#REF!</definedName>
    <definedName name="avg" localSheetId="20">#REF!</definedName>
    <definedName name="avg" localSheetId="21">#REF!</definedName>
    <definedName name="avg" localSheetId="22">#REF!</definedName>
    <definedName name="avg" localSheetId="5">#REF!</definedName>
    <definedName name="avg" localSheetId="43">#REF!</definedName>
    <definedName name="avg">#REF!</definedName>
    <definedName name="b" localSheetId="42">[1]Efficiency!$G$35</definedName>
    <definedName name="b" localSheetId="5">[1]Efficiency!$G$35</definedName>
    <definedName name="b" localSheetId="43">'TG Costs'!$F$8</definedName>
    <definedName name="b">[2]Efficiency!$G$35</definedName>
    <definedName name="bb">'TG Costs'!$F$7</definedName>
    <definedName name="bcf" localSheetId="0">#REF!</definedName>
    <definedName name="bcf" localSheetId="24">#REF!</definedName>
    <definedName name="bcf" localSheetId="25">#REF!</definedName>
    <definedName name="bcf" localSheetId="26">#REF!</definedName>
    <definedName name="bcf" localSheetId="27">#REF!</definedName>
    <definedName name="bcf" localSheetId="30">#REF!</definedName>
    <definedName name="bcf" localSheetId="28">#REF!</definedName>
    <definedName name="bcf" localSheetId="29">#REF!</definedName>
    <definedName name="bcf" localSheetId="31">#REF!</definedName>
    <definedName name="bcf" localSheetId="32">#REF!</definedName>
    <definedName name="bcf" localSheetId="35">#REF!</definedName>
    <definedName name="bcf" localSheetId="37">#REF!</definedName>
    <definedName name="bcf" localSheetId="33">#REF!</definedName>
    <definedName name="bcf" localSheetId="34">#REF!</definedName>
    <definedName name="bcf" localSheetId="38">#REF!</definedName>
    <definedName name="bcf" localSheetId="39">#REF!</definedName>
    <definedName name="bcf" localSheetId="36">#REF!</definedName>
    <definedName name="bcf" localSheetId="2">#REF!</definedName>
    <definedName name="bcf" localSheetId="3">#REF!</definedName>
    <definedName name="bcf" localSheetId="4">#REF!</definedName>
    <definedName name="bcf" localSheetId="10">#REF!</definedName>
    <definedName name="bcf" localSheetId="9">#REF!</definedName>
    <definedName name="bcf" localSheetId="13">#REF!</definedName>
    <definedName name="bcf" localSheetId="12">#REF!</definedName>
    <definedName name="bcf" localSheetId="14">#REF!</definedName>
    <definedName name="bcf" localSheetId="16">#REF!</definedName>
    <definedName name="bcf" localSheetId="18">#REF!</definedName>
    <definedName name="bcf" localSheetId="17">#REF!</definedName>
    <definedName name="bcf" localSheetId="19">#REF!</definedName>
    <definedName name="bcf" localSheetId="20">#REF!</definedName>
    <definedName name="bcf" localSheetId="21">#REF!</definedName>
    <definedName name="bcf" localSheetId="22">#REF!</definedName>
    <definedName name="bcf" localSheetId="42">#REF!</definedName>
    <definedName name="bcf" localSheetId="5">#REF!</definedName>
    <definedName name="bcf" localSheetId="43">#REF!</definedName>
    <definedName name="bcf">#REF!</definedName>
    <definedName name="bioesc" localSheetId="42">[3]Inputs!$B$9</definedName>
    <definedName name="bioesc">[3]Inputs!$B$9</definedName>
    <definedName name="cap" localSheetId="0">#REF!</definedName>
    <definedName name="cap" localSheetId="24">#REF!</definedName>
    <definedName name="cap" localSheetId="25">#REF!</definedName>
    <definedName name="cap" localSheetId="26">#REF!</definedName>
    <definedName name="cap" localSheetId="27">#REF!</definedName>
    <definedName name="cap" localSheetId="30">#REF!</definedName>
    <definedName name="cap" localSheetId="28">#REF!</definedName>
    <definedName name="cap" localSheetId="29">#REF!</definedName>
    <definedName name="cap" localSheetId="31">#REF!</definedName>
    <definedName name="cap" localSheetId="32">#REF!</definedName>
    <definedName name="cap" localSheetId="35">#REF!</definedName>
    <definedName name="cap" localSheetId="37">#REF!</definedName>
    <definedName name="cap" localSheetId="33">#REF!</definedName>
    <definedName name="cap" localSheetId="34">#REF!</definedName>
    <definedName name="cap" localSheetId="38">#REF!</definedName>
    <definedName name="cap" localSheetId="39">#REF!</definedName>
    <definedName name="cap" localSheetId="36">#REF!</definedName>
    <definedName name="cap" localSheetId="2">#REF!</definedName>
    <definedName name="cap" localSheetId="3">#REF!</definedName>
    <definedName name="cap" localSheetId="4">#REF!</definedName>
    <definedName name="cap" localSheetId="7">'Proforma A'!$H$29</definedName>
    <definedName name="cap" localSheetId="8">'Proforma B'!$H$29</definedName>
    <definedName name="cap" localSheetId="10">'Proforma B (1-2 min flow)'!$H$29</definedName>
    <definedName name="cap" localSheetId="9">'Proforma B (no min flow)'!$H$29</definedName>
    <definedName name="cap" localSheetId="11">'Proforma C'!$H$29</definedName>
    <definedName name="cap" localSheetId="13">'Proforma C (1-2 min flow)'!$H$29</definedName>
    <definedName name="cap" localSheetId="12">'Proforma C (no min flow)'!$H$29</definedName>
    <definedName name="cap" localSheetId="14">'Proforma C-2'!$H$29</definedName>
    <definedName name="cap" localSheetId="15">'Proforma D'!$H$29</definedName>
    <definedName name="cap" localSheetId="16">'Proforma E'!$H$29</definedName>
    <definedName name="cap" localSheetId="18">'Proforma E (1-2 min flow)'!$H$29</definedName>
    <definedName name="cap" localSheetId="17">'Proforma E (no min flow)'!$H$29</definedName>
    <definedName name="cap" localSheetId="19">'Proforma E-2'!$H$29</definedName>
    <definedName name="cap" localSheetId="20">'Proforma E-2 (no min flow)'!$H$29</definedName>
    <definedName name="cap" localSheetId="21">'Proforma E-3'!$H$29</definedName>
    <definedName name="cap" localSheetId="22">'Proforma F'!$H$29</definedName>
    <definedName name="cap" localSheetId="42">[4]Proforma!#REF!</definedName>
    <definedName name="cap" localSheetId="5">#REF!</definedName>
    <definedName name="cap">#REF!</definedName>
    <definedName name="capesc" localSheetId="42">[3]Inputs!$B$4</definedName>
    <definedName name="capesc">[3]Inputs!$B$4</definedName>
    <definedName name="cc" localSheetId="0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30">#REF!</definedName>
    <definedName name="cc" localSheetId="28">#REF!</definedName>
    <definedName name="cc" localSheetId="29">#REF!</definedName>
    <definedName name="cc" localSheetId="31">#REF!</definedName>
    <definedName name="cc" localSheetId="32">#REF!</definedName>
    <definedName name="cc" localSheetId="35">#REF!</definedName>
    <definedName name="cc" localSheetId="37">#REF!</definedName>
    <definedName name="cc" localSheetId="33">#REF!</definedName>
    <definedName name="cc" localSheetId="34">#REF!</definedName>
    <definedName name="cc" localSheetId="38">#REF!</definedName>
    <definedName name="cc" localSheetId="39">#REF!</definedName>
    <definedName name="cc" localSheetId="36">#REF!</definedName>
    <definedName name="cc" localSheetId="2">#REF!</definedName>
    <definedName name="cc" localSheetId="3">#REF!</definedName>
    <definedName name="cc" localSheetId="4">#REF!</definedName>
    <definedName name="cc" localSheetId="10">#REF!</definedName>
    <definedName name="cc" localSheetId="9">#REF!</definedName>
    <definedName name="cc" localSheetId="13">#REF!</definedName>
    <definedName name="cc" localSheetId="12">#REF!</definedName>
    <definedName name="cc" localSheetId="14">#REF!</definedName>
    <definedName name="cc" localSheetId="16">#REF!</definedName>
    <definedName name="cc" localSheetId="18">#REF!</definedName>
    <definedName name="cc" localSheetId="17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42">#REF!</definedName>
    <definedName name="cc" localSheetId="5">#REF!</definedName>
    <definedName name="cc">#REF!</definedName>
    <definedName name="cont">[4]Proforma!$Q$27</definedName>
    <definedName name="da" localSheetId="0">#REF!</definedName>
    <definedName name="da" localSheetId="24">#REF!</definedName>
    <definedName name="da" localSheetId="25">#REF!</definedName>
    <definedName name="da" localSheetId="26">#REF!</definedName>
    <definedName name="da" localSheetId="27">#REF!</definedName>
    <definedName name="da" localSheetId="30">#REF!</definedName>
    <definedName name="da" localSheetId="28">#REF!</definedName>
    <definedName name="da" localSheetId="29">#REF!</definedName>
    <definedName name="da" localSheetId="31">#REF!</definedName>
    <definedName name="da" localSheetId="32">#REF!</definedName>
    <definedName name="da" localSheetId="35">#REF!</definedName>
    <definedName name="da" localSheetId="37">#REF!</definedName>
    <definedName name="da" localSheetId="33">#REF!</definedName>
    <definedName name="da" localSheetId="34">#REF!</definedName>
    <definedName name="da" localSheetId="38">#REF!</definedName>
    <definedName name="da" localSheetId="39">#REF!</definedName>
    <definedName name="da" localSheetId="36">#REF!</definedName>
    <definedName name="da" localSheetId="2">#REF!</definedName>
    <definedName name="da" localSheetId="3">#REF!</definedName>
    <definedName name="da" localSheetId="4">#REF!</definedName>
    <definedName name="da" localSheetId="10">#REF!</definedName>
    <definedName name="da" localSheetId="9">#REF!</definedName>
    <definedName name="da" localSheetId="13">#REF!</definedName>
    <definedName name="da" localSheetId="12">#REF!</definedName>
    <definedName name="da" localSheetId="14">#REF!</definedName>
    <definedName name="da" localSheetId="16">#REF!</definedName>
    <definedName name="da" localSheetId="18">#REF!</definedName>
    <definedName name="da" localSheetId="17">#REF!</definedName>
    <definedName name="da" localSheetId="19">#REF!</definedName>
    <definedName name="da" localSheetId="20">#REF!</definedName>
    <definedName name="da" localSheetId="21">#REF!</definedName>
    <definedName name="da" localSheetId="22">#REF!</definedName>
    <definedName name="da" localSheetId="42">#REF!</definedName>
    <definedName name="da" localSheetId="5">#REF!</definedName>
    <definedName name="da" localSheetId="43">#REF!</definedName>
    <definedName name="da">#REF!</definedName>
    <definedName name="Debt" localSheetId="0">#REF!</definedName>
    <definedName name="Debt" localSheetId="36">#REF!</definedName>
    <definedName name="Debt" localSheetId="2">#REF!</definedName>
    <definedName name="Debt" localSheetId="3">#REF!</definedName>
    <definedName name="Debt" localSheetId="4">#REF!</definedName>
    <definedName name="Debt" localSheetId="20">#REF!</definedName>
    <definedName name="Debt" localSheetId="42">'[5]Roll Up - Bulbs-A'!$N$50</definedName>
    <definedName name="Debt">#REF!</definedName>
    <definedName name="dem" localSheetId="0">#REF!</definedName>
    <definedName name="dem" localSheetId="23">'[6]Proforma CHC @ Dam'!$N$26</definedName>
    <definedName name="dem" localSheetId="24">'[6]Proforma CHC @ Dam'!$N$26</definedName>
    <definedName name="dem" localSheetId="25">'[6]Proforma CHC @ Dam'!$N$26</definedName>
    <definedName name="dem" localSheetId="26">'[6]Proforma CHC @ Dam'!$N$26</definedName>
    <definedName name="dem" localSheetId="27">'[6]Proforma CHC @ Dam'!$N$26</definedName>
    <definedName name="dem" localSheetId="30">'[6]Proforma CHC @ Dam'!$N$26</definedName>
    <definedName name="dem" localSheetId="28">'[6]Proforma CHC @ Dam'!$N$26</definedName>
    <definedName name="dem" localSheetId="29">'[6]Proforma CHC @ Dam'!$N$26</definedName>
    <definedName name="dem" localSheetId="31">'[6]Proforma CHC @ Dam'!$N$26</definedName>
    <definedName name="dem" localSheetId="32">'[6]Proforma CHC @ Dam'!$N$26</definedName>
    <definedName name="dem" localSheetId="35">'[6]Proforma CHC @ Dam'!$N$26</definedName>
    <definedName name="dem" localSheetId="37">'[6]Proforma CHC @ Dam'!$N$26</definedName>
    <definedName name="dem" localSheetId="33">'[6]Proforma CHC @ Dam'!$N$26</definedName>
    <definedName name="dem" localSheetId="34">'[6]Proforma CHC @ Dam'!$N$26</definedName>
    <definedName name="dem" localSheetId="38">'[6]Proforma CHC @ Dam'!$N$26</definedName>
    <definedName name="dem" localSheetId="39">'[6]Proforma CHC @ Dam'!$N$26</definedName>
    <definedName name="dem" localSheetId="36">'[6]Proforma CHC @ Dam'!$N$26</definedName>
    <definedName name="dem" localSheetId="2">#REF!</definedName>
    <definedName name="dem" localSheetId="3">#REF!</definedName>
    <definedName name="dem" localSheetId="4">#REF!</definedName>
    <definedName name="dem" localSheetId="7">'Proforma A'!$N$29</definedName>
    <definedName name="dem" localSheetId="8">'Proforma B'!$N$29</definedName>
    <definedName name="dem" localSheetId="10">'Proforma B (1-2 min flow)'!$N$29</definedName>
    <definedName name="dem" localSheetId="9">'Proforma B (no min flow)'!$N$29</definedName>
    <definedName name="dem" localSheetId="11">'Proforma C'!$N$29</definedName>
    <definedName name="dem" localSheetId="13">'Proforma C (1-2 min flow)'!$N$29</definedName>
    <definedName name="dem" localSheetId="12">'Proforma C (no min flow)'!$N$29</definedName>
    <definedName name="dem" localSheetId="14">'Proforma C-2'!$N$29</definedName>
    <definedName name="dem" localSheetId="15">'Proforma D'!$N$29</definedName>
    <definedName name="dem" localSheetId="16">'Proforma E'!$N$29</definedName>
    <definedName name="dem" localSheetId="18">'Proforma E (1-2 min flow)'!$N$29</definedName>
    <definedName name="dem" localSheetId="17">'Proforma E (no min flow)'!$N$29</definedName>
    <definedName name="dem" localSheetId="19">'Proforma E-2'!$N$29</definedName>
    <definedName name="dem" localSheetId="20">'Proforma E-2 (no min flow)'!$N$29</definedName>
    <definedName name="dem" localSheetId="21">'Proforma E-3'!$N$29</definedName>
    <definedName name="dem" localSheetId="22">'Proforma F'!$N$29</definedName>
    <definedName name="dem" localSheetId="42">[4]Proforma!$K$27</definedName>
    <definedName name="dem" localSheetId="5">#REF!</definedName>
    <definedName name="dem">#REF!</definedName>
    <definedName name="dis" localSheetId="0">#REF!</definedName>
    <definedName name="dis" localSheetId="23">'[6]Proforma CHC @ Dam'!$H$24</definedName>
    <definedName name="dis" localSheetId="24">'[6]Proforma CHC @ Dam'!$H$24</definedName>
    <definedName name="dis" localSheetId="25">'[6]Proforma CHC @ Dam'!$H$24</definedName>
    <definedName name="dis" localSheetId="26">'[6]Proforma CHC @ Dam'!$H$24</definedName>
    <definedName name="dis" localSheetId="27">'[6]Proforma CHC @ Dam'!$H$24</definedName>
    <definedName name="dis" localSheetId="30">'[6]Proforma CHC @ Dam'!$H$24</definedName>
    <definedName name="dis" localSheetId="28">'[6]Proforma CHC @ Dam'!$H$24</definedName>
    <definedName name="dis" localSheetId="29">'[6]Proforma CHC @ Dam'!$H$24</definedName>
    <definedName name="dis" localSheetId="31">'[6]Proforma CHC @ Dam'!$H$24</definedName>
    <definedName name="dis" localSheetId="32">'[6]Proforma CHC @ Dam'!$H$24</definedName>
    <definedName name="dis" localSheetId="35">'[6]Proforma CHC @ Dam'!$H$24</definedName>
    <definedName name="dis" localSheetId="37">'[6]Proforma CHC @ Dam'!$H$24</definedName>
    <definedName name="dis" localSheetId="33">'[6]Proforma CHC @ Dam'!$H$24</definedName>
    <definedName name="dis" localSheetId="34">'[6]Proforma CHC @ Dam'!$H$24</definedName>
    <definedName name="dis" localSheetId="38">'[6]Proforma CHC @ Dam'!$H$24</definedName>
    <definedName name="dis" localSheetId="39">'[6]Proforma CHC @ Dam'!$H$24</definedName>
    <definedName name="dis" localSheetId="36">'[6]Proforma CHC @ Dam'!$H$24</definedName>
    <definedName name="dis" localSheetId="2">#REF!</definedName>
    <definedName name="dis" localSheetId="3">#REF!</definedName>
    <definedName name="dis" localSheetId="4">#REF!</definedName>
    <definedName name="dis" localSheetId="7">'Proforma A'!$H$27</definedName>
    <definedName name="dis" localSheetId="8">'Proforma B'!$H$27</definedName>
    <definedName name="dis" localSheetId="10">'Proforma B (1-2 min flow)'!$H$27</definedName>
    <definedName name="dis" localSheetId="9">'Proforma B (no min flow)'!$H$27</definedName>
    <definedName name="dis" localSheetId="11">'Proforma C'!$H$27</definedName>
    <definedName name="dis" localSheetId="13">'Proforma C (1-2 min flow)'!$H$27</definedName>
    <definedName name="dis" localSheetId="12">'Proforma C (no min flow)'!$H$27</definedName>
    <definedName name="dis" localSheetId="14">'Proforma C-2'!$H$27</definedName>
    <definedName name="dis" localSheetId="15">'Proforma D'!$H$27</definedName>
    <definedName name="dis" localSheetId="16">'Proforma E'!$H$27</definedName>
    <definedName name="dis" localSheetId="18">'Proforma E (1-2 min flow)'!$H$27</definedName>
    <definedName name="dis" localSheetId="17">'Proforma E (no min flow)'!$H$27</definedName>
    <definedName name="dis" localSheetId="19">'Proforma E-2'!$H$27</definedName>
    <definedName name="dis" localSheetId="20">'Proforma E-2 (no min flow)'!$H$27</definedName>
    <definedName name="dis" localSheetId="21">'Proforma E-3'!$H$27</definedName>
    <definedName name="dis" localSheetId="22">'Proforma F'!$H$27</definedName>
    <definedName name="dis" localSheetId="42">[4]Proforma!$H$25</definedName>
    <definedName name="dis" localSheetId="5">#REF!</definedName>
    <definedName name="dis" localSheetId="43">#REF!</definedName>
    <definedName name="dis">#REF!</definedName>
    <definedName name="disc" localSheetId="42">[3]Inputs!$B$3</definedName>
    <definedName name="disc">[3]Inputs!$B$3</definedName>
    <definedName name="discrateIPP" localSheetId="0">[7]INPUTS!#REF!</definedName>
    <definedName name="discrateIPP" localSheetId="24">[7]INPUTS!#REF!</definedName>
    <definedName name="discrateIPP" localSheetId="25">[7]INPUTS!#REF!</definedName>
    <definedName name="discrateIPP" localSheetId="26">[7]INPUTS!#REF!</definedName>
    <definedName name="discrateIPP" localSheetId="27">[7]INPUTS!#REF!</definedName>
    <definedName name="discrateIPP" localSheetId="30">[7]INPUTS!#REF!</definedName>
    <definedName name="discrateIPP" localSheetId="28">[7]INPUTS!#REF!</definedName>
    <definedName name="discrateIPP" localSheetId="29">[7]INPUTS!#REF!</definedName>
    <definedName name="discrateIPP" localSheetId="31">[7]INPUTS!#REF!</definedName>
    <definedName name="discrateIPP" localSheetId="32">[7]INPUTS!#REF!</definedName>
    <definedName name="discrateIPP" localSheetId="35">[7]INPUTS!#REF!</definedName>
    <definedName name="discrateIPP" localSheetId="37">[7]INPUTS!#REF!</definedName>
    <definedName name="discrateIPP" localSheetId="33">[7]INPUTS!#REF!</definedName>
    <definedName name="discrateIPP" localSheetId="34">[7]INPUTS!#REF!</definedName>
    <definedName name="discrateIPP" localSheetId="38">[7]INPUTS!#REF!</definedName>
    <definedName name="discrateIPP" localSheetId="39">[7]INPUTS!#REF!</definedName>
    <definedName name="discrateIPP" localSheetId="36">[7]INPUTS!#REF!</definedName>
    <definedName name="discrateIPP" localSheetId="2">[7]INPUTS!#REF!</definedName>
    <definedName name="discrateIPP" localSheetId="3">[7]INPUTS!#REF!</definedName>
    <definedName name="discrateIPP" localSheetId="4">[7]INPUTS!#REF!</definedName>
    <definedName name="discrateIPP" localSheetId="10">[7]INPUTS!#REF!</definedName>
    <definedName name="discrateIPP" localSheetId="9">[7]INPUTS!#REF!</definedName>
    <definedName name="discrateIPP" localSheetId="13">[7]INPUTS!#REF!</definedName>
    <definedName name="discrateIPP" localSheetId="12">[7]INPUTS!#REF!</definedName>
    <definedName name="discrateIPP" localSheetId="14">[7]INPUTS!#REF!</definedName>
    <definedName name="discrateIPP" localSheetId="16">[7]INPUTS!#REF!</definedName>
    <definedName name="discrateIPP" localSheetId="18">[7]INPUTS!#REF!</definedName>
    <definedName name="discrateIPP" localSheetId="17">[7]INPUTS!#REF!</definedName>
    <definedName name="discrateIPP" localSheetId="19">[7]INPUTS!#REF!</definedName>
    <definedName name="discrateIPP" localSheetId="20">[7]INPUTS!#REF!</definedName>
    <definedName name="discrateIPP" localSheetId="21">[7]INPUTS!#REF!</definedName>
    <definedName name="discrateIPP" localSheetId="22">[7]INPUTS!#REF!</definedName>
    <definedName name="discrateIPP" localSheetId="42">[7]INPUTS!#REF!</definedName>
    <definedName name="discrateIPP" localSheetId="5">[7]INPUTS!#REF!</definedName>
    <definedName name="discrateIPP">[7]INPUTS!#REF!</definedName>
    <definedName name="dist" localSheetId="0">#REF!</definedName>
    <definedName name="dist" localSheetId="23">'[6]Proforma CHC @ Dam'!$Q$26</definedName>
    <definedName name="dist" localSheetId="24">'[6]Proforma CHC @ Dam'!$Q$26</definedName>
    <definedName name="dist" localSheetId="25">'[6]Proforma CHC @ Dam'!$Q$26</definedName>
    <definedName name="dist" localSheetId="26">'[6]Proforma CHC @ Dam'!$Q$26</definedName>
    <definedName name="dist" localSheetId="27">'[6]Proforma CHC @ Dam'!$Q$26</definedName>
    <definedName name="dist" localSheetId="30">'[6]Proforma CHC @ Dam'!$Q$26</definedName>
    <definedName name="dist" localSheetId="28">'[6]Proforma CHC @ Dam'!$Q$26</definedName>
    <definedName name="dist" localSheetId="29">'[6]Proforma CHC @ Dam'!$Q$26</definedName>
    <definedName name="dist" localSheetId="31">'[6]Proforma CHC @ Dam'!$Q$26</definedName>
    <definedName name="dist" localSheetId="32">'[6]Proforma CHC @ Dam'!$Q$26</definedName>
    <definedName name="dist" localSheetId="35">'[6]Proforma CHC @ Dam'!$Q$26</definedName>
    <definedName name="dist" localSheetId="37">'[6]Proforma CHC @ Dam'!$Q$26</definedName>
    <definedName name="dist" localSheetId="33">'[6]Proforma CHC @ Dam'!$Q$26</definedName>
    <definedName name="dist" localSheetId="34">'[6]Proforma CHC @ Dam'!$Q$26</definedName>
    <definedName name="dist" localSheetId="38">'[6]Proforma CHC @ Dam'!$Q$26</definedName>
    <definedName name="dist" localSheetId="39">'[6]Proforma CHC @ Dam'!$Q$26</definedName>
    <definedName name="dist" localSheetId="36">'[6]Proforma CHC @ Dam'!$Q$26</definedName>
    <definedName name="dist" localSheetId="2">#REF!</definedName>
    <definedName name="dist" localSheetId="3">#REF!</definedName>
    <definedName name="dist" localSheetId="4">#REF!</definedName>
    <definedName name="dist" localSheetId="7">'Proforma A'!$Q$29</definedName>
    <definedName name="dist" localSheetId="8">'Proforma B'!$Q$29</definedName>
    <definedName name="dist" localSheetId="10">'Proforma B (1-2 min flow)'!$Q$29</definedName>
    <definedName name="dist" localSheetId="9">'Proforma B (no min flow)'!$Q$29</definedName>
    <definedName name="dist" localSheetId="11">'Proforma C'!$Q$29</definedName>
    <definedName name="dist" localSheetId="13">'Proforma C (1-2 min flow)'!$Q$29</definedName>
    <definedName name="dist" localSheetId="12">'Proforma C (no min flow)'!$Q$29</definedName>
    <definedName name="dist" localSheetId="14">'Proforma C-2'!$Q$29</definedName>
    <definedName name="dist" localSheetId="15">'Proforma D'!$Q$29</definedName>
    <definedName name="dist" localSheetId="16">'Proforma E'!$Q$29</definedName>
    <definedName name="dist" localSheetId="18">'Proforma E (1-2 min flow)'!$Q$29</definedName>
    <definedName name="dist" localSheetId="17">'Proforma E (no min flow)'!$Q$29</definedName>
    <definedName name="dist" localSheetId="19">'Proforma E-2'!$Q$29</definedName>
    <definedName name="dist" localSheetId="20">'Proforma E-2 (no min flow)'!$Q$29</definedName>
    <definedName name="dist" localSheetId="21">'Proforma E-3'!$Q$29</definedName>
    <definedName name="dist" localSheetId="22">'Proforma F'!$Q$29</definedName>
    <definedName name="dist" localSheetId="42">'[8]Proforma Spillway Pit Turb'!$Q$26</definedName>
    <definedName name="dist" localSheetId="5">#REF!</definedName>
    <definedName name="dist">#REF!</definedName>
    <definedName name="dsc" localSheetId="0">#REF!</definedName>
    <definedName name="dsc" localSheetId="24">#REF!</definedName>
    <definedName name="dsc" localSheetId="25">#REF!</definedName>
    <definedName name="dsc" localSheetId="26">#REF!</definedName>
    <definedName name="dsc" localSheetId="27">#REF!</definedName>
    <definedName name="dsc" localSheetId="30">#REF!</definedName>
    <definedName name="dsc" localSheetId="28">#REF!</definedName>
    <definedName name="dsc" localSheetId="29">#REF!</definedName>
    <definedName name="dsc" localSheetId="31">#REF!</definedName>
    <definedName name="dsc" localSheetId="32">#REF!</definedName>
    <definedName name="dsc" localSheetId="35">#REF!</definedName>
    <definedName name="dsc" localSheetId="37">#REF!</definedName>
    <definedName name="dsc" localSheetId="33">#REF!</definedName>
    <definedName name="dsc" localSheetId="34">#REF!</definedName>
    <definedName name="dsc" localSheetId="38">#REF!</definedName>
    <definedName name="dsc" localSheetId="39">#REF!</definedName>
    <definedName name="dsc" localSheetId="36">#REF!</definedName>
    <definedName name="dsc" localSheetId="2">#REF!</definedName>
    <definedName name="dsc" localSheetId="3">#REF!</definedName>
    <definedName name="dsc" localSheetId="4">#REF!</definedName>
    <definedName name="dsc" localSheetId="10">#REF!</definedName>
    <definedName name="dsc" localSheetId="9">#REF!</definedName>
    <definedName name="dsc" localSheetId="13">#REF!</definedName>
    <definedName name="dsc" localSheetId="12">#REF!</definedName>
    <definedName name="dsc" localSheetId="14">#REF!</definedName>
    <definedName name="dsc" localSheetId="16">#REF!</definedName>
    <definedName name="dsc" localSheetId="18">#REF!</definedName>
    <definedName name="dsc" localSheetId="17">#REF!</definedName>
    <definedName name="dsc" localSheetId="19">#REF!</definedName>
    <definedName name="dsc" localSheetId="20">#REF!</definedName>
    <definedName name="dsc" localSheetId="21">#REF!</definedName>
    <definedName name="dsc" localSheetId="22">#REF!</definedName>
    <definedName name="dsc" localSheetId="42">#REF!</definedName>
    <definedName name="dsc" localSheetId="5">#REF!</definedName>
    <definedName name="dsc">#REF!</definedName>
    <definedName name="eff" localSheetId="0">#REF!</definedName>
    <definedName name="eff" localSheetId="24">#REF!</definedName>
    <definedName name="eff" localSheetId="25">#REF!</definedName>
    <definedName name="eff" localSheetId="26">#REF!</definedName>
    <definedName name="eff" localSheetId="27">#REF!</definedName>
    <definedName name="eff" localSheetId="30">#REF!</definedName>
    <definedName name="eff" localSheetId="28">#REF!</definedName>
    <definedName name="eff" localSheetId="29">#REF!</definedName>
    <definedName name="eff" localSheetId="31">#REF!</definedName>
    <definedName name="eff" localSheetId="32">#REF!</definedName>
    <definedName name="eff" localSheetId="35">#REF!</definedName>
    <definedName name="eff" localSheetId="37">#REF!</definedName>
    <definedName name="eff" localSheetId="33">#REF!</definedName>
    <definedName name="eff" localSheetId="34">#REF!</definedName>
    <definedName name="eff" localSheetId="38">#REF!</definedName>
    <definedName name="eff" localSheetId="39">#REF!</definedName>
    <definedName name="eff" localSheetId="36">#REF!</definedName>
    <definedName name="eff" localSheetId="2">#REF!</definedName>
    <definedName name="eff" localSheetId="3">#REF!</definedName>
    <definedName name="eff" localSheetId="4">#REF!</definedName>
    <definedName name="eff" localSheetId="10">#REF!</definedName>
    <definedName name="eff" localSheetId="9">#REF!</definedName>
    <definedName name="eff" localSheetId="13">#REF!</definedName>
    <definedName name="eff" localSheetId="12">#REF!</definedName>
    <definedName name="eff" localSheetId="14">#REF!</definedName>
    <definedName name="eff" localSheetId="16">#REF!</definedName>
    <definedName name="eff" localSheetId="18">#REF!</definedName>
    <definedName name="eff" localSheetId="17">#REF!</definedName>
    <definedName name="eff" localSheetId="19">#REF!</definedName>
    <definedName name="eff" localSheetId="20">#REF!</definedName>
    <definedName name="eff" localSheetId="21">#REF!</definedName>
    <definedName name="eff" localSheetId="22">#REF!</definedName>
    <definedName name="eff" localSheetId="5">#REF!</definedName>
    <definedName name="eff" localSheetId="43">#REF!</definedName>
    <definedName name="eff">#REF!</definedName>
    <definedName name="ene" localSheetId="0">#REF!</definedName>
    <definedName name="ene" localSheetId="23">'[6]Proforma CHC @ Dam'!$E$26</definedName>
    <definedName name="ene" localSheetId="24">'[6]Proforma CHC @ Dam'!$E$26</definedName>
    <definedName name="ene" localSheetId="25">'[6]Proforma CHC @ Dam'!$E$26</definedName>
    <definedName name="ene" localSheetId="26">'[6]Proforma CHC @ Dam'!$E$26</definedName>
    <definedName name="ene" localSheetId="27">'[6]Proforma CHC @ Dam'!$E$26</definedName>
    <definedName name="ene" localSheetId="30">'[6]Proforma CHC @ Dam'!$E$26</definedName>
    <definedName name="ene" localSheetId="28">'[6]Proforma CHC @ Dam'!$E$26</definedName>
    <definedName name="ene" localSheetId="29">'[6]Proforma CHC @ Dam'!$E$26</definedName>
    <definedName name="ene" localSheetId="31">'[6]Proforma CHC @ Dam'!$E$26</definedName>
    <definedName name="ene" localSheetId="32">'[6]Proforma CHC @ Dam'!$E$26</definedName>
    <definedName name="ene" localSheetId="35">'[6]Proforma CHC @ Dam'!$E$26</definedName>
    <definedName name="ene" localSheetId="37">'[6]Proforma CHC @ Dam'!$E$26</definedName>
    <definedName name="ene" localSheetId="33">'[6]Proforma CHC @ Dam'!$E$26</definedName>
    <definedName name="ene" localSheetId="34">'[6]Proforma CHC @ Dam'!$E$26</definedName>
    <definedName name="ene" localSheetId="38">'[6]Proforma CHC @ Dam'!$E$26</definedName>
    <definedName name="ene" localSheetId="39">'[6]Proforma CHC @ Dam'!$E$26</definedName>
    <definedName name="ene" localSheetId="36">'[6]Proforma CHC @ Dam'!$E$26</definedName>
    <definedName name="ene" localSheetId="2">#REF!</definedName>
    <definedName name="ene" localSheetId="3">#REF!</definedName>
    <definedName name="ene" localSheetId="4">#REF!</definedName>
    <definedName name="ene" localSheetId="7">'Proforma A'!$E$29</definedName>
    <definedName name="ene" localSheetId="8">'Proforma B'!$E$29</definedName>
    <definedName name="ene" localSheetId="10">'Proforma B (1-2 min flow)'!$E$29</definedName>
    <definedName name="ene" localSheetId="9">'Proforma B (no min flow)'!$E$29</definedName>
    <definedName name="ene" localSheetId="11">'Proforma C'!$E$29</definedName>
    <definedName name="ene" localSheetId="13">'Proforma C (1-2 min flow)'!$E$29</definedName>
    <definedName name="ene" localSheetId="12">'Proforma C (no min flow)'!$E$29</definedName>
    <definedName name="ene" localSheetId="14">'Proforma C-2'!$E$29</definedName>
    <definedName name="ene" localSheetId="15">'Proforma D'!$E$29</definedName>
    <definedName name="ene" localSheetId="16">'Proforma E'!$E$29</definedName>
    <definedName name="ene" localSheetId="18">'Proforma E (1-2 min flow)'!$E$29</definedName>
    <definedName name="ene" localSheetId="17">'Proforma E (no min flow)'!$E$29</definedName>
    <definedName name="ene" localSheetId="19">'Proforma E-2'!$E$29</definedName>
    <definedName name="ene" localSheetId="20">'Proforma E-2 (no min flow)'!$E$29</definedName>
    <definedName name="ene" localSheetId="21">'Proforma E-3'!$E$29</definedName>
    <definedName name="ene" localSheetId="22">'Proforma F'!$E$29</definedName>
    <definedName name="ene" localSheetId="42">[4]Proforma!$E$27</definedName>
    <definedName name="ene" localSheetId="5">#REF!</definedName>
    <definedName name="ene">#REF!</definedName>
    <definedName name="energy" localSheetId="42">'[6]Proforma CHC @ Dam'!$E$26</definedName>
    <definedName name="energy" localSheetId="43">'[6]Proforma CHC @ Dam'!$E$26</definedName>
    <definedName name="energy">'[6]Proforma CHC @ Dam'!$E$26</definedName>
    <definedName name="esc" localSheetId="0">#REF!</definedName>
    <definedName name="esc" localSheetId="23">'[6]Proforma CHC @ Dam'!$E$24</definedName>
    <definedName name="esc" localSheetId="24">'[6]Proforma CHC @ Dam'!$E$24</definedName>
    <definedName name="esc" localSheetId="25">'[6]Proforma CHC @ Dam'!$E$24</definedName>
    <definedName name="esc" localSheetId="26">'[6]Proforma CHC @ Dam'!$E$24</definedName>
    <definedName name="esc" localSheetId="27">'[6]Proforma CHC @ Dam'!$E$24</definedName>
    <definedName name="esc" localSheetId="30">'[6]Proforma CHC @ Dam'!$E$24</definedName>
    <definedName name="esc" localSheetId="28">'[6]Proforma CHC @ Dam'!$E$24</definedName>
    <definedName name="esc" localSheetId="29">'[6]Proforma CHC @ Dam'!$E$24</definedName>
    <definedName name="esc" localSheetId="31">'[6]Proforma CHC @ Dam'!$E$24</definedName>
    <definedName name="esc" localSheetId="32">'[6]Proforma CHC @ Dam'!$E$24</definedName>
    <definedName name="esc" localSheetId="35">'[6]Proforma CHC @ Dam'!$E$24</definedName>
    <definedName name="esc" localSheetId="37">'[6]Proforma CHC @ Dam'!$E$24</definedName>
    <definedName name="esc" localSheetId="33">'[6]Proforma CHC @ Dam'!$E$24</definedName>
    <definedName name="esc" localSheetId="34">'[6]Proforma CHC @ Dam'!$E$24</definedName>
    <definedName name="esc" localSheetId="38">'[6]Proforma CHC @ Dam'!$E$24</definedName>
    <definedName name="esc" localSheetId="39">'[6]Proforma CHC @ Dam'!$E$24</definedName>
    <definedName name="esc" localSheetId="36">'[6]Proforma CHC @ Dam'!$E$24</definedName>
    <definedName name="esc" localSheetId="2">#REF!</definedName>
    <definedName name="esc" localSheetId="3">#REF!</definedName>
    <definedName name="esc" localSheetId="4">#REF!</definedName>
    <definedName name="esc" localSheetId="7">'Proforma A'!$E$27</definedName>
    <definedName name="esc" localSheetId="8">'Proforma B'!$E$27</definedName>
    <definedName name="esc" localSheetId="10">'Proforma B (1-2 min flow)'!$E$27</definedName>
    <definedName name="esc" localSheetId="9">'Proforma B (no min flow)'!$E$27</definedName>
    <definedName name="esc" localSheetId="11">'Proforma C'!$E$27</definedName>
    <definedName name="esc" localSheetId="13">'Proforma C (1-2 min flow)'!$E$27</definedName>
    <definedName name="esc" localSheetId="12">'Proforma C (no min flow)'!$E$27</definedName>
    <definedName name="esc" localSheetId="14">'Proforma C-2'!$E$27</definedName>
    <definedName name="esc" localSheetId="15">'Proforma D'!$E$27</definedName>
    <definedName name="esc" localSheetId="16">'Proforma E'!$E$27</definedName>
    <definedName name="esc" localSheetId="18">'Proforma E (1-2 min flow)'!$E$27</definedName>
    <definedName name="esc" localSheetId="17">'Proforma E (no min flow)'!$E$27</definedName>
    <definedName name="esc" localSheetId="19">'Proforma E-2'!$E$27</definedName>
    <definedName name="esc" localSheetId="20">'Proforma E-2 (no min flow)'!$E$27</definedName>
    <definedName name="esc" localSheetId="21">'Proforma E-3'!$E$27</definedName>
    <definedName name="esc" localSheetId="22">'Proforma F'!$E$27</definedName>
    <definedName name="esc" localSheetId="42">[4]Proforma!$E$25</definedName>
    <definedName name="esc" localSheetId="5">#REF!</definedName>
    <definedName name="esc">#REF!</definedName>
    <definedName name="ex" localSheetId="0">#REF!</definedName>
    <definedName name="ex" localSheetId="24">#REF!</definedName>
    <definedName name="ex" localSheetId="25">#REF!</definedName>
    <definedName name="ex" localSheetId="26">#REF!</definedName>
    <definedName name="ex" localSheetId="27">#REF!</definedName>
    <definedName name="ex" localSheetId="30">#REF!</definedName>
    <definedName name="ex" localSheetId="28">#REF!</definedName>
    <definedName name="ex" localSheetId="29">#REF!</definedName>
    <definedName name="ex" localSheetId="31">#REF!</definedName>
    <definedName name="ex" localSheetId="32">#REF!</definedName>
    <definedName name="ex" localSheetId="35">#REF!</definedName>
    <definedName name="ex" localSheetId="37">#REF!</definedName>
    <definedName name="ex" localSheetId="33">#REF!</definedName>
    <definedName name="ex" localSheetId="34">#REF!</definedName>
    <definedName name="ex" localSheetId="38">#REF!</definedName>
    <definedName name="ex" localSheetId="39">#REF!</definedName>
    <definedName name="ex" localSheetId="36">#REF!</definedName>
    <definedName name="ex" localSheetId="2">#REF!</definedName>
    <definedName name="ex" localSheetId="3">#REF!</definedName>
    <definedName name="ex" localSheetId="4">#REF!</definedName>
    <definedName name="ex" localSheetId="10">#REF!</definedName>
    <definedName name="ex" localSheetId="9">#REF!</definedName>
    <definedName name="ex" localSheetId="13">#REF!</definedName>
    <definedName name="ex" localSheetId="12">#REF!</definedName>
    <definedName name="ex" localSheetId="14">#REF!</definedName>
    <definedName name="ex" localSheetId="16">#REF!</definedName>
    <definedName name="ex" localSheetId="18">#REF!</definedName>
    <definedName name="ex" localSheetId="17">#REF!</definedName>
    <definedName name="ex" localSheetId="19">#REF!</definedName>
    <definedName name="ex" localSheetId="20">#REF!</definedName>
    <definedName name="ex" localSheetId="21">#REF!</definedName>
    <definedName name="ex" localSheetId="22">#REF!</definedName>
    <definedName name="ex" localSheetId="42">#REF!</definedName>
    <definedName name="ex" localSheetId="5">#REF!</definedName>
    <definedName name="ex" localSheetId="43">#REF!</definedName>
    <definedName name="ex">#REF!</definedName>
    <definedName name="fgrant" localSheetId="0">#REF!</definedName>
    <definedName name="fgrant" localSheetId="36">#REF!</definedName>
    <definedName name="fgrant" localSheetId="2">#REF!</definedName>
    <definedName name="fgrant" localSheetId="3">#REF!</definedName>
    <definedName name="fgrant" localSheetId="4">#REF!</definedName>
    <definedName name="fgrant" localSheetId="20">#REF!</definedName>
    <definedName name="fgrant" localSheetId="42">[8]Summary!$H$3</definedName>
    <definedName name="fgrant">#REF!</definedName>
    <definedName name="genavg" localSheetId="0">#REF!</definedName>
    <definedName name="genavg" localSheetId="24">#REF!</definedName>
    <definedName name="genavg" localSheetId="25">#REF!</definedName>
    <definedName name="genavg" localSheetId="26">#REF!</definedName>
    <definedName name="genavg" localSheetId="27">#REF!</definedName>
    <definedName name="genavg" localSheetId="30">#REF!</definedName>
    <definedName name="genavg" localSheetId="28">#REF!</definedName>
    <definedName name="genavg" localSheetId="29">#REF!</definedName>
    <definedName name="genavg" localSheetId="31">#REF!</definedName>
    <definedName name="genavg" localSheetId="32">#REF!</definedName>
    <definedName name="genavg" localSheetId="35">#REF!</definedName>
    <definedName name="genavg" localSheetId="37">#REF!</definedName>
    <definedName name="genavg" localSheetId="33">#REF!</definedName>
    <definedName name="genavg" localSheetId="34">#REF!</definedName>
    <definedName name="genavg" localSheetId="38">#REF!</definedName>
    <definedName name="genavg" localSheetId="39">#REF!</definedName>
    <definedName name="genavg" localSheetId="36">#REF!</definedName>
    <definedName name="genavg" localSheetId="2">#REF!</definedName>
    <definedName name="genavg" localSheetId="3">#REF!</definedName>
    <definedName name="genavg" localSheetId="4">#REF!</definedName>
    <definedName name="genavg" localSheetId="10">#REF!</definedName>
    <definedName name="genavg" localSheetId="9">#REF!</definedName>
    <definedName name="genavg" localSheetId="13">#REF!</definedName>
    <definedName name="genavg" localSheetId="12">#REF!</definedName>
    <definedName name="genavg" localSheetId="14">#REF!</definedName>
    <definedName name="genavg" localSheetId="16">#REF!</definedName>
    <definedName name="genavg" localSheetId="18">#REF!</definedName>
    <definedName name="genavg" localSheetId="17">#REF!</definedName>
    <definedName name="genavg" localSheetId="19">#REF!</definedName>
    <definedName name="genavg" localSheetId="20">#REF!</definedName>
    <definedName name="genavg" localSheetId="21">#REF!</definedName>
    <definedName name="genavg" localSheetId="22">#REF!</definedName>
    <definedName name="genavg" localSheetId="42">#REF!</definedName>
    <definedName name="genavg" localSheetId="5">#REF!</definedName>
    <definedName name="genavg" localSheetId="43">#REF!</definedName>
    <definedName name="genavg">#REF!</definedName>
    <definedName name="grant" localSheetId="23">'[6]Proforma CHC @ Dam'!$Q$24</definedName>
    <definedName name="grant" localSheetId="24">'[6]Proforma CHC @ Dam'!$Q$24</definedName>
    <definedName name="grant" localSheetId="25">'[6]Proforma CHC @ Dam'!$Q$24</definedName>
    <definedName name="grant" localSheetId="26">'[6]Proforma CHC @ Dam'!$Q$24</definedName>
    <definedName name="grant" localSheetId="27">'[6]Proforma CHC @ Dam'!$Q$24</definedName>
    <definedName name="grant" localSheetId="30">'[6]Proforma CHC @ Dam'!$Q$24</definedName>
    <definedName name="grant" localSheetId="28">'[6]Proforma CHC @ Dam'!$Q$24</definedName>
    <definedName name="grant" localSheetId="29">'[6]Proforma CHC @ Dam'!$Q$24</definedName>
    <definedName name="grant" localSheetId="31">'[6]Proforma CHC @ Dam'!$Q$24</definedName>
    <definedName name="grant" localSheetId="32">'[6]Proforma CHC @ Dam'!$Q$24</definedName>
    <definedName name="grant" localSheetId="35">'[6]Proforma CHC @ Dam'!$Q$24</definedName>
    <definedName name="grant" localSheetId="37">'[6]Proforma CHC @ Dam'!$Q$24</definedName>
    <definedName name="grant" localSheetId="33">'[6]Proforma CHC @ Dam'!$Q$24</definedName>
    <definedName name="grant" localSheetId="34">'[6]Proforma CHC @ Dam'!$Q$24</definedName>
    <definedName name="grant" localSheetId="38">'[6]Proforma CHC @ Dam'!$Q$24</definedName>
    <definedName name="grant" localSheetId="39">'[6]Proforma CHC @ Dam'!$Q$24</definedName>
    <definedName name="grant" localSheetId="36">'[6]Proforma CHC @ Dam'!$Q$24</definedName>
    <definedName name="grant" localSheetId="7">'Proforma A'!$Q$27</definedName>
    <definedName name="grant" localSheetId="8">'Proforma B'!$Q$27</definedName>
    <definedName name="grant" localSheetId="10">'Proforma B (1-2 min flow)'!$Q$27</definedName>
    <definedName name="grant" localSheetId="9">'Proforma B (no min flow)'!$Q$27</definedName>
    <definedName name="grant" localSheetId="11">'Proforma C'!$Q$27</definedName>
    <definedName name="grant" localSheetId="13">'Proforma C (1-2 min flow)'!$Q$27</definedName>
    <definedName name="grant" localSheetId="12">'Proforma C (no min flow)'!$Q$27</definedName>
    <definedName name="grant" localSheetId="14">'Proforma C-2'!$Q$27</definedName>
    <definedName name="grant" localSheetId="15">'Proforma D'!$Q$27</definedName>
    <definedName name="grant" localSheetId="16">'Proforma E'!$Q$27</definedName>
    <definedName name="grant" localSheetId="18">'Proforma E (1-2 min flow)'!$Q$27</definedName>
    <definedName name="grant" localSheetId="17">'Proforma E (no min flow)'!$Q$27</definedName>
    <definedName name="grant" localSheetId="19">'Proforma E-2'!$Q$27</definedName>
    <definedName name="grant" localSheetId="20">'Proforma E-2 (no min flow)'!$Q$27</definedName>
    <definedName name="grant" localSheetId="21">'Proforma E-3'!$Q$27</definedName>
    <definedName name="grant" localSheetId="22">'Proforma F'!$Q$27</definedName>
    <definedName name="hcf" localSheetId="0">#REF!</definedName>
    <definedName name="hcf" localSheetId="24">#REF!</definedName>
    <definedName name="hcf" localSheetId="25">#REF!</definedName>
    <definedName name="hcf" localSheetId="26">#REF!</definedName>
    <definedName name="hcf" localSheetId="27">#REF!</definedName>
    <definedName name="hcf" localSheetId="30">#REF!</definedName>
    <definedName name="hcf" localSheetId="28">#REF!</definedName>
    <definedName name="hcf" localSheetId="29">#REF!</definedName>
    <definedName name="hcf" localSheetId="31">#REF!</definedName>
    <definedName name="hcf" localSheetId="32">#REF!</definedName>
    <definedName name="hcf" localSheetId="35">#REF!</definedName>
    <definedName name="hcf" localSheetId="37">#REF!</definedName>
    <definedName name="hcf" localSheetId="33">#REF!</definedName>
    <definedName name="hcf" localSheetId="34">#REF!</definedName>
    <definedName name="hcf" localSheetId="38">#REF!</definedName>
    <definedName name="hcf" localSheetId="39">#REF!</definedName>
    <definedName name="hcf" localSheetId="36">#REF!</definedName>
    <definedName name="hcf" localSheetId="2">#REF!</definedName>
    <definedName name="hcf" localSheetId="3">#REF!</definedName>
    <definedName name="hcf" localSheetId="4">#REF!</definedName>
    <definedName name="hcf" localSheetId="10">#REF!</definedName>
    <definedName name="hcf" localSheetId="9">#REF!</definedName>
    <definedName name="hcf" localSheetId="13">#REF!</definedName>
    <definedName name="hcf" localSheetId="12">#REF!</definedName>
    <definedName name="hcf" localSheetId="14">#REF!</definedName>
    <definedName name="hcf" localSheetId="16">#REF!</definedName>
    <definedName name="hcf" localSheetId="18">#REF!</definedName>
    <definedName name="hcf" localSheetId="17">#REF!</definedName>
    <definedName name="hcf" localSheetId="19">#REF!</definedName>
    <definedName name="hcf" localSheetId="20">#REF!</definedName>
    <definedName name="hcf" localSheetId="21">#REF!</definedName>
    <definedName name="hcf" localSheetId="22">#REF!</definedName>
    <definedName name="hcf" localSheetId="5">#REF!</definedName>
    <definedName name="hcf" localSheetId="43">#REF!</definedName>
    <definedName name="hcf">#REF!</definedName>
    <definedName name="hresc" localSheetId="42">[3]Inputs!$B$7</definedName>
    <definedName name="hresc">[3]Inputs!$B$7</definedName>
    <definedName name="Irate" localSheetId="0">#REF!</definedName>
    <definedName name="Irate" localSheetId="36">#REF!</definedName>
    <definedName name="Irate" localSheetId="2">#REF!</definedName>
    <definedName name="Irate" localSheetId="3">#REF!</definedName>
    <definedName name="Irate" localSheetId="4">#REF!</definedName>
    <definedName name="Irate" localSheetId="20">#REF!</definedName>
    <definedName name="irate" localSheetId="42">'[5]Roll Up - Bulbs-A'!$Q$50</definedName>
    <definedName name="Irate">#REF!</definedName>
    <definedName name="lcf" localSheetId="0">#REF!</definedName>
    <definedName name="lcf" localSheetId="24">#REF!</definedName>
    <definedName name="lcf" localSheetId="25">#REF!</definedName>
    <definedName name="lcf" localSheetId="26">#REF!</definedName>
    <definedName name="lcf" localSheetId="27">#REF!</definedName>
    <definedName name="lcf" localSheetId="30">#REF!</definedName>
    <definedName name="lcf" localSheetId="28">#REF!</definedName>
    <definedName name="lcf" localSheetId="29">#REF!</definedName>
    <definedName name="lcf" localSheetId="31">#REF!</definedName>
    <definedName name="lcf" localSheetId="32">#REF!</definedName>
    <definedName name="lcf" localSheetId="35">#REF!</definedName>
    <definedName name="lcf" localSheetId="37">#REF!</definedName>
    <definedName name="lcf" localSheetId="33">#REF!</definedName>
    <definedName name="lcf" localSheetId="34">#REF!</definedName>
    <definedName name="lcf" localSheetId="38">#REF!</definedName>
    <definedName name="lcf" localSheetId="39">#REF!</definedName>
    <definedName name="lcf" localSheetId="36">#REF!</definedName>
    <definedName name="lcf" localSheetId="2">#REF!</definedName>
    <definedName name="lcf" localSheetId="3">#REF!</definedName>
    <definedName name="lcf" localSheetId="4">#REF!</definedName>
    <definedName name="lcf" localSheetId="10">#REF!</definedName>
    <definedName name="lcf" localSheetId="9">#REF!</definedName>
    <definedName name="lcf" localSheetId="13">#REF!</definedName>
    <definedName name="lcf" localSheetId="12">#REF!</definedName>
    <definedName name="lcf" localSheetId="14">#REF!</definedName>
    <definedName name="lcf" localSheetId="16">#REF!</definedName>
    <definedName name="lcf" localSheetId="18">#REF!</definedName>
    <definedName name="lcf" localSheetId="17">#REF!</definedName>
    <definedName name="lcf" localSheetId="19">#REF!</definedName>
    <definedName name="lcf" localSheetId="20">#REF!</definedName>
    <definedName name="lcf" localSheetId="21">#REF!</definedName>
    <definedName name="lcf" localSheetId="22">#REF!</definedName>
    <definedName name="lcf" localSheetId="42">#REF!</definedName>
    <definedName name="lcf" localSheetId="5">#REF!</definedName>
    <definedName name="lcf" localSheetId="43">#REF!</definedName>
    <definedName name="lcf">#REF!</definedName>
    <definedName name="m" localSheetId="6">[9]TrbnPro!$E$25</definedName>
    <definedName name="m" localSheetId="42">[1]Efficiency!$G$34</definedName>
    <definedName name="m" localSheetId="5">[1]Efficiency!$G$34</definedName>
    <definedName name="m" localSheetId="43">'TG Costs'!$F$9</definedName>
    <definedName name="m">[2]Efficiency!$G$34</definedName>
    <definedName name="maxgate" localSheetId="6">[9]TrbnPro!$B$22</definedName>
    <definedName name="maxgate" localSheetId="42">[10]TrbnPro!$B$23</definedName>
    <definedName name="maxgate" localSheetId="43">[10]TrbnPro!$B$23</definedName>
    <definedName name="maxgate">[10]TrbnPro!$B$23</definedName>
    <definedName name="maxgate2" localSheetId="42">[10]TrbnPro!$G$23</definedName>
    <definedName name="maxgate2" localSheetId="43">[10]TrbnPro!$G$23</definedName>
    <definedName name="maxgate2">[10]TrbnPro!$G$23</definedName>
    <definedName name="mingate" localSheetId="6">[9]TrbnPro!$B$3</definedName>
    <definedName name="mingate" localSheetId="42">[10]TrbnPro!$B$4</definedName>
    <definedName name="mingate" localSheetId="43">[10]TrbnPro!$B$4</definedName>
    <definedName name="mingate">[10]TrbnPro!$B$4</definedName>
    <definedName name="mingate2" localSheetId="42">[10]TrbnPro!$G$4</definedName>
    <definedName name="mingate2" localSheetId="43">[10]TrbnPro!$G$4</definedName>
    <definedName name="mingate2">[10]TrbnPro!$G$4</definedName>
    <definedName name="mm">'TG Costs'!$F$6</definedName>
    <definedName name="mw" localSheetId="23">'[6]Proforma CHC @ Dam'!$N$24</definedName>
    <definedName name="mw" localSheetId="24">'[6]Proforma CHC @ Dam'!$N$24</definedName>
    <definedName name="mw" localSheetId="25">'[6]Proforma CHC @ Dam'!$N$24</definedName>
    <definedName name="mw" localSheetId="26">'[6]Proforma CHC @ Dam'!$N$24</definedName>
    <definedName name="mw" localSheetId="27">'[6]Proforma CHC @ Dam'!$N$24</definedName>
    <definedName name="mw" localSheetId="30">'[6]Proforma CHC @ Dam'!$N$24</definedName>
    <definedName name="mw" localSheetId="28">'[6]Proforma CHC @ Dam'!$N$24</definedName>
    <definedName name="mw" localSheetId="29">'[6]Proforma CHC @ Dam'!$N$24</definedName>
    <definedName name="mw" localSheetId="31">'[6]Proforma CHC @ Dam'!$N$24</definedName>
    <definedName name="mw" localSheetId="32">'[6]Proforma CHC @ Dam'!$N$24</definedName>
    <definedName name="mw" localSheetId="35">'[6]Proforma CHC @ Dam'!$N$24</definedName>
    <definedName name="mw" localSheetId="37">'[6]Proforma CHC @ Dam'!$N$24</definedName>
    <definedName name="mw" localSheetId="33">'[6]Proforma CHC @ Dam'!$N$24</definedName>
    <definedName name="mw" localSheetId="34">'[6]Proforma CHC @ Dam'!$N$24</definedName>
    <definedName name="mw" localSheetId="38">'[6]Proforma CHC @ Dam'!$N$24</definedName>
    <definedName name="mw" localSheetId="39">'[6]Proforma CHC @ Dam'!$N$24</definedName>
    <definedName name="mw" localSheetId="36">'[6]Proforma CHC @ Dam'!$N$24</definedName>
    <definedName name="mw" localSheetId="7">'Proforma A'!$N$27</definedName>
    <definedName name="mw" localSheetId="8">'Proforma B'!$N$27</definedName>
    <definedName name="mw" localSheetId="10">'Proforma B (1-2 min flow)'!$N$27</definedName>
    <definedName name="mw" localSheetId="9">'Proforma B (no min flow)'!$N$27</definedName>
    <definedName name="mw" localSheetId="11">'Proforma C'!$N$27</definedName>
    <definedName name="mw" localSheetId="13">'Proforma C (1-2 min flow)'!$N$27</definedName>
    <definedName name="mw" localSheetId="12">'Proforma C (no min flow)'!$N$27</definedName>
    <definedName name="mw" localSheetId="14">'Proforma C-2'!$N$27</definedName>
    <definedName name="mw" localSheetId="15">'Proforma D'!$N$27</definedName>
    <definedName name="mw" localSheetId="16">'Proforma E'!$N$27</definedName>
    <definedName name="mw" localSheetId="18">'Proforma E (1-2 min flow)'!$N$27</definedName>
    <definedName name="mw" localSheetId="17">'Proforma E (no min flow)'!$N$27</definedName>
    <definedName name="mw" localSheetId="19">'Proforma E-2'!$N$27</definedName>
    <definedName name="mw" localSheetId="20">'Proforma E-2 (no min flow)'!$N$27</definedName>
    <definedName name="mw" localSheetId="21">'Proforma E-3'!$N$27</definedName>
    <definedName name="mw" localSheetId="22">'Proforma F'!$N$27</definedName>
    <definedName name="mw">[4]Proforma!$N$25</definedName>
    <definedName name="mwh" localSheetId="0">#REF!</definedName>
    <definedName name="mwh" localSheetId="23">'[6]Proforma CHC @ Dam'!$K$24</definedName>
    <definedName name="mwh" localSheetId="24">'[6]Proforma CHC @ Dam'!$K$24</definedName>
    <definedName name="mwh" localSheetId="25">'[6]Proforma CHC @ Dam'!$K$24</definedName>
    <definedName name="mwh" localSheetId="26">'[6]Proforma CHC @ Dam'!$K$24</definedName>
    <definedName name="mwh" localSheetId="27">'[6]Proforma CHC @ Dam'!$K$24</definedName>
    <definedName name="mwh" localSheetId="30">'[6]Proforma CHC @ Dam'!$K$24</definedName>
    <definedName name="mwh" localSheetId="28">'[6]Proforma CHC @ Dam'!$K$24</definedName>
    <definedName name="mwh" localSheetId="29">'[6]Proforma CHC @ Dam'!$K$24</definedName>
    <definedName name="mwh" localSheetId="31">'[6]Proforma CHC @ Dam'!$K$24</definedName>
    <definedName name="mwh" localSheetId="32">'[6]Proforma CHC @ Dam'!$K$24</definedName>
    <definedName name="mwh" localSheetId="35">'[6]Proforma CHC @ Dam'!$K$24</definedName>
    <definedName name="mwh" localSheetId="37">'[6]Proforma CHC @ Dam'!$K$24</definedName>
    <definedName name="mwh" localSheetId="33">'[6]Proforma CHC @ Dam'!$K$24</definedName>
    <definedName name="mwh" localSheetId="34">'[6]Proforma CHC @ Dam'!$K$24</definedName>
    <definedName name="mwh" localSheetId="38">'[6]Proforma CHC @ Dam'!$K$24</definedName>
    <definedName name="mwh" localSheetId="39">'[6]Proforma CHC @ Dam'!$K$24</definedName>
    <definedName name="mwh" localSheetId="36">'[6]Proforma CHC @ Dam'!$K$24</definedName>
    <definedName name="mwh" localSheetId="2">#REF!</definedName>
    <definedName name="mwh" localSheetId="3">#REF!</definedName>
    <definedName name="mwh" localSheetId="4">#REF!</definedName>
    <definedName name="mwh" localSheetId="7">'Proforma A'!$K$27</definedName>
    <definedName name="mwh" localSheetId="8">'Proforma B'!$K$27</definedName>
    <definedName name="mwh" localSheetId="10">'Proforma B (1-2 min flow)'!$K$27</definedName>
    <definedName name="mwh" localSheetId="9">'Proforma B (no min flow)'!$K$27</definedName>
    <definedName name="mwh" localSheetId="11">'Proforma C'!$K$27</definedName>
    <definedName name="mwh" localSheetId="13">'Proforma C (1-2 min flow)'!$K$27</definedName>
    <definedName name="mwh" localSheetId="12">'Proforma C (no min flow)'!$K$27</definedName>
    <definedName name="mwh" localSheetId="14">'Proforma C-2'!$K$27</definedName>
    <definedName name="mwh" localSheetId="15">'Proforma D'!$K$27</definedName>
    <definedName name="mwh" localSheetId="16">'Proforma E'!$K$27</definedName>
    <definedName name="mwh" localSheetId="18">'Proforma E (1-2 min flow)'!$K$27</definedName>
    <definedName name="mwh" localSheetId="17">'Proforma E (no min flow)'!$K$27</definedName>
    <definedName name="mwh" localSheetId="19">'Proforma E-2'!$K$27</definedName>
    <definedName name="mwh" localSheetId="20">'Proforma E-2 (no min flow)'!$K$27</definedName>
    <definedName name="mwh" localSheetId="21">'Proforma E-3'!$K$27</definedName>
    <definedName name="mwh" localSheetId="22">'Proforma F'!$K$27</definedName>
    <definedName name="mwh" localSheetId="42">[4]Proforma!$K$25</definedName>
    <definedName name="mwh" localSheetId="5">#REF!</definedName>
    <definedName name="mwh">#REF!</definedName>
    <definedName name="mwhesc" localSheetId="42">[3]Inputs!$B$6</definedName>
    <definedName name="mwhesc">[3]Inputs!$B$6</definedName>
    <definedName name="ng" localSheetId="0">#REF!</definedName>
    <definedName name="ng" localSheetId="24">#REF!</definedName>
    <definedName name="ng" localSheetId="25">#REF!</definedName>
    <definedName name="ng" localSheetId="26">#REF!</definedName>
    <definedName name="ng" localSheetId="27">#REF!</definedName>
    <definedName name="ng" localSheetId="30">#REF!</definedName>
    <definedName name="ng" localSheetId="28">#REF!</definedName>
    <definedName name="ng" localSheetId="29">#REF!</definedName>
    <definedName name="ng" localSheetId="31">#REF!</definedName>
    <definedName name="ng" localSheetId="32">#REF!</definedName>
    <definedName name="ng" localSheetId="35">#REF!</definedName>
    <definedName name="ng" localSheetId="37">#REF!</definedName>
    <definedName name="ng" localSheetId="33">#REF!</definedName>
    <definedName name="ng" localSheetId="34">#REF!</definedName>
    <definedName name="ng" localSheetId="38">#REF!</definedName>
    <definedName name="ng" localSheetId="39">#REF!</definedName>
    <definedName name="ng" localSheetId="36">#REF!</definedName>
    <definedName name="ng" localSheetId="2">#REF!</definedName>
    <definedName name="ng" localSheetId="3">#REF!</definedName>
    <definedName name="ng" localSheetId="4">#REF!</definedName>
    <definedName name="ng" localSheetId="10">#REF!</definedName>
    <definedName name="ng" localSheetId="9">#REF!</definedName>
    <definedName name="ng" localSheetId="13">#REF!</definedName>
    <definedName name="ng" localSheetId="12">#REF!</definedName>
    <definedName name="ng" localSheetId="14">#REF!</definedName>
    <definedName name="ng" localSheetId="16">#REF!</definedName>
    <definedName name="ng" localSheetId="18">#REF!</definedName>
    <definedName name="ng" localSheetId="17">#REF!</definedName>
    <definedName name="ng" localSheetId="19">#REF!</definedName>
    <definedName name="ng" localSheetId="20">#REF!</definedName>
    <definedName name="ng" localSheetId="21">#REF!</definedName>
    <definedName name="ng" localSheetId="22">#REF!</definedName>
    <definedName name="ng" localSheetId="42">#REF!</definedName>
    <definedName name="ng" localSheetId="5">#REF!</definedName>
    <definedName name="ng" localSheetId="43">#REF!</definedName>
    <definedName name="ng">#REF!</definedName>
    <definedName name="nh" localSheetId="0">#REF!</definedName>
    <definedName name="nh" localSheetId="24">#REF!</definedName>
    <definedName name="nh" localSheetId="25">#REF!</definedName>
    <definedName name="nh" localSheetId="26">#REF!</definedName>
    <definedName name="nh" localSheetId="27">#REF!</definedName>
    <definedName name="nh" localSheetId="30">#REF!</definedName>
    <definedName name="nh" localSheetId="28">#REF!</definedName>
    <definedName name="nh" localSheetId="29">#REF!</definedName>
    <definedName name="nh" localSheetId="31">#REF!</definedName>
    <definedName name="nh" localSheetId="32">#REF!</definedName>
    <definedName name="nh" localSheetId="35">#REF!</definedName>
    <definedName name="nh" localSheetId="37">#REF!</definedName>
    <definedName name="nh" localSheetId="33">#REF!</definedName>
    <definedName name="nh" localSheetId="34">#REF!</definedName>
    <definedName name="nh" localSheetId="38">#REF!</definedName>
    <definedName name="nh" localSheetId="39">#REF!</definedName>
    <definedName name="nh" localSheetId="36">#REF!</definedName>
    <definedName name="nh" localSheetId="2">#REF!</definedName>
    <definedName name="nh" localSheetId="3">#REF!</definedName>
    <definedName name="nh" localSheetId="4">#REF!</definedName>
    <definedName name="nh" localSheetId="10">#REF!</definedName>
    <definedName name="nh" localSheetId="9">#REF!</definedName>
    <definedName name="nh" localSheetId="13">#REF!</definedName>
    <definedName name="nh" localSheetId="12">#REF!</definedName>
    <definedName name="nh" localSheetId="14">#REF!</definedName>
    <definedName name="nh" localSheetId="16">#REF!</definedName>
    <definedName name="nh" localSheetId="18">#REF!</definedName>
    <definedName name="nh" localSheetId="17">#REF!</definedName>
    <definedName name="nh" localSheetId="19">#REF!</definedName>
    <definedName name="nh" localSheetId="20">#REF!</definedName>
    <definedName name="nh" localSheetId="21">#REF!</definedName>
    <definedName name="nh" localSheetId="22">#REF!</definedName>
    <definedName name="nh" localSheetId="5">#REF!</definedName>
    <definedName name="nh" localSheetId="43">#REF!</definedName>
    <definedName name="nh">#REF!</definedName>
    <definedName name="opesc" localSheetId="42">[3]Inputs!$B$5</definedName>
    <definedName name="opesc">[3]Inputs!$B$5</definedName>
    <definedName name="_xlnm.Print_Area" localSheetId="23">'Costs A'!$A$1:$H$137</definedName>
    <definedName name="_xlnm.Print_Area" localSheetId="24">'Costs B'!$A$1:$H$137</definedName>
    <definedName name="_xlnm.Print_Area" localSheetId="25">'Costs B (1-2 min flow)'!$A$1:$H$137</definedName>
    <definedName name="_xlnm.Print_Area" localSheetId="26">'Costs B (no min flow)'!$A$1:$H$137</definedName>
    <definedName name="_xlnm.Print_Area" localSheetId="27">'Costs C'!$A$1:$H$137</definedName>
    <definedName name="_xlnm.Print_Area" localSheetId="30">'Costs C - Francis Refurb'!$A$1:$H$137</definedName>
    <definedName name="_xlnm.Print_Area" localSheetId="28">'Costs C (1-2 min flow)'!$A$1:$H$137</definedName>
    <definedName name="_xlnm.Print_Area" localSheetId="29">'Costs C (no min flow)'!$A$1:$H$137</definedName>
    <definedName name="_xlnm.Print_Area" localSheetId="31">'Costs D'!$A$1:$H$137</definedName>
    <definedName name="_xlnm.Print_Area" localSheetId="32">'Costs E'!$A$1:$H$137</definedName>
    <definedName name="_xlnm.Print_Area" localSheetId="35">'Costs E - Francis Repowered'!$A$1:$H$137</definedName>
    <definedName name="_xlnm.Print_Area" localSheetId="37">'Costs E - Francis Restored'!$A$1:$H$137</definedName>
    <definedName name="_xlnm.Print_Area" localSheetId="33">'Costs E (1-2 min flow)'!$A$1:$H$137</definedName>
    <definedName name="_xlnm.Print_Area" localSheetId="34">'Costs E (no min flow)'!$A$1:$H$137</definedName>
    <definedName name="_xlnm.Print_Area" localSheetId="38">'Costs F'!$A$1:$H$137</definedName>
    <definedName name="_xlnm.Print_Area" localSheetId="39">'Costs Min Flow Unit'!$A$1:$H$137</definedName>
    <definedName name="_xlnm.Print_Area" localSheetId="36">'CostsE-FrancisRepow-no min flow'!$A$1:$H$137</definedName>
    <definedName name="_xlnm.Print_Area" localSheetId="6">Energy!$A$1:$N$25</definedName>
    <definedName name="_xlnm.Print_Area" localSheetId="45">'Interconnect Costs'!$A$1:$P$12</definedName>
    <definedName name="_xlnm.Print_Area" localSheetId="41">'Penstock Costs'!$A$1:$G$44</definedName>
    <definedName name="_xlnm.Print_Area" localSheetId="40">'Phase I Dam Repairs'!$A$1:$E$8</definedName>
    <definedName name="_xlnm.Print_Area" localSheetId="7">'Proforma A'!$A$1:$W$39</definedName>
    <definedName name="_xlnm.Print_Area" localSheetId="8">'Proforma B'!$A$1:$W$39</definedName>
    <definedName name="_xlnm.Print_Area" localSheetId="10">'Proforma B (1-2 min flow)'!$A$1:$W$39</definedName>
    <definedName name="_xlnm.Print_Area" localSheetId="9">'Proforma B (no min flow)'!$A$1:$W$39</definedName>
    <definedName name="_xlnm.Print_Area" localSheetId="11">'Proforma C'!$A$1:$W$39</definedName>
    <definedName name="_xlnm.Print_Area" localSheetId="13">'Proforma C (1-2 min flow)'!$A$1:$W$39</definedName>
    <definedName name="_xlnm.Print_Area" localSheetId="12">'Proforma C (no min flow)'!$A$1:$W$39</definedName>
    <definedName name="_xlnm.Print_Area" localSheetId="14">'Proforma C-2'!$A$1:$W$39</definedName>
    <definedName name="_xlnm.Print_Area" localSheetId="15">'Proforma D'!$A$1:$W$39</definedName>
    <definedName name="_xlnm.Print_Area" localSheetId="16">'Proforma E'!$A$1:$W$39</definedName>
    <definedName name="_xlnm.Print_Area" localSheetId="18">'Proforma E (1-2 min flow)'!$A$1:$W$39</definedName>
    <definedName name="_xlnm.Print_Area" localSheetId="17">'Proforma E (no min flow)'!$A$1:$W$38</definedName>
    <definedName name="_xlnm.Print_Area" localSheetId="19">'Proforma E-2'!$A$1:$W$39</definedName>
    <definedName name="_xlnm.Print_Area" localSheetId="20">'Proforma E-2 (no min flow)'!$A$1:$W$39</definedName>
    <definedName name="_xlnm.Print_Area" localSheetId="21">'Proforma E-3'!$A$1:$W$39</definedName>
    <definedName name="_xlnm.Print_Area" localSheetId="22">'Proforma F'!$A$1:$W$39</definedName>
    <definedName name="_xlnm.Print_Area" localSheetId="42">'Pwrhse Cost Estimator'!$A$1:$E$31</definedName>
    <definedName name="_xlnm.Print_Area" localSheetId="44">'Regulatory Costs'!$A$1:$F$9</definedName>
    <definedName name="_xlnm.Print_Area" localSheetId="5">'Summary - Cash'!$A$1:$J$45</definedName>
    <definedName name="_xlnm.Print_Area" localSheetId="43">'TG Costs'!$A$1:$G$49</definedName>
    <definedName name="_xlnm.Print_Titles" localSheetId="23">'Costs A'!$1:$1</definedName>
    <definedName name="_xlnm.Print_Titles" localSheetId="24">'Costs B'!$1:$1</definedName>
    <definedName name="_xlnm.Print_Titles" localSheetId="25">'Costs B (1-2 min flow)'!$1:$1</definedName>
    <definedName name="_xlnm.Print_Titles" localSheetId="26">'Costs B (no min flow)'!$1:$1</definedName>
    <definedName name="_xlnm.Print_Titles" localSheetId="27">'Costs C'!$1:$1</definedName>
    <definedName name="_xlnm.Print_Titles" localSheetId="30">'Costs C - Francis Refurb'!$1:$1</definedName>
    <definedName name="_xlnm.Print_Titles" localSheetId="28">'Costs C (1-2 min flow)'!$1:$1</definedName>
    <definedName name="_xlnm.Print_Titles" localSheetId="29">'Costs C (no min flow)'!$1:$1</definedName>
    <definedName name="_xlnm.Print_Titles" localSheetId="31">'Costs D'!$1:$1</definedName>
    <definedName name="_xlnm.Print_Titles" localSheetId="32">'Costs E'!$1:$1</definedName>
    <definedName name="_xlnm.Print_Titles" localSheetId="35">'Costs E - Francis Repowered'!$1:$1</definedName>
    <definedName name="_xlnm.Print_Titles" localSheetId="37">'Costs E - Francis Restored'!$1:$1</definedName>
    <definedName name="_xlnm.Print_Titles" localSheetId="33">'Costs E (1-2 min flow)'!$1:$1</definedName>
    <definedName name="_xlnm.Print_Titles" localSheetId="34">'Costs E (no min flow)'!$1:$1</definedName>
    <definedName name="_xlnm.Print_Titles" localSheetId="38">'Costs F'!$1:$1</definedName>
    <definedName name="_xlnm.Print_Titles" localSheetId="39">'Costs Min Flow Unit'!$1:$1</definedName>
    <definedName name="_xlnm.Print_Titles" localSheetId="36">'CostsE-FrancisRepow-no min flow'!$1:$1</definedName>
    <definedName name="rec" localSheetId="0">#REF!</definedName>
    <definedName name="rec" localSheetId="23">'[6]Proforma CHC @ Dam'!$K$26</definedName>
    <definedName name="rec" localSheetId="24">'[6]Proforma CHC @ Dam'!$K$26</definedName>
    <definedName name="rec" localSheetId="25">'[6]Proforma CHC @ Dam'!$K$26</definedName>
    <definedName name="rec" localSheetId="26">'[6]Proforma CHC @ Dam'!$K$26</definedName>
    <definedName name="rec" localSheetId="27">'[6]Proforma CHC @ Dam'!$K$26</definedName>
    <definedName name="rec" localSheetId="30">'[6]Proforma CHC @ Dam'!$K$26</definedName>
    <definedName name="rec" localSheetId="28">'[6]Proforma CHC @ Dam'!$K$26</definedName>
    <definedName name="rec" localSheetId="29">'[6]Proforma CHC @ Dam'!$K$26</definedName>
    <definedName name="rec" localSheetId="31">'[6]Proforma CHC @ Dam'!$K$26</definedName>
    <definedName name="rec" localSheetId="32">'[6]Proforma CHC @ Dam'!$K$26</definedName>
    <definedName name="rec" localSheetId="35">'[6]Proforma CHC @ Dam'!$K$26</definedName>
    <definedName name="rec" localSheetId="37">'[6]Proforma CHC @ Dam'!$K$26</definedName>
    <definedName name="rec" localSheetId="33">'[6]Proforma CHC @ Dam'!$K$26</definedName>
    <definedName name="rec" localSheetId="34">'[6]Proforma CHC @ Dam'!$K$26</definedName>
    <definedName name="rec" localSheetId="38">'[6]Proforma CHC @ Dam'!$K$26</definedName>
    <definedName name="rec" localSheetId="39">'[6]Proforma CHC @ Dam'!$K$26</definedName>
    <definedName name="rec" localSheetId="36">'[6]Proforma CHC @ Dam'!$K$26</definedName>
    <definedName name="rec" localSheetId="2">#REF!</definedName>
    <definedName name="rec" localSheetId="3">#REF!</definedName>
    <definedName name="rec" localSheetId="4">#REF!</definedName>
    <definedName name="rec" localSheetId="7">'Proforma A'!$K$29</definedName>
    <definedName name="rec" localSheetId="8">'Proforma B'!$K$29</definedName>
    <definedName name="rec" localSheetId="10">'Proforma B (1-2 min flow)'!$K$29</definedName>
    <definedName name="rec" localSheetId="9">'Proforma B (no min flow)'!$K$29</definedName>
    <definedName name="rec" localSheetId="11">'Proforma C'!$K$29</definedName>
    <definedName name="rec" localSheetId="13">'Proforma C (1-2 min flow)'!$K$29</definedName>
    <definedName name="rec" localSheetId="12">'Proforma C (no min flow)'!$K$29</definedName>
    <definedName name="rec" localSheetId="14">'Proforma C-2'!$K$29</definedName>
    <definedName name="rec" localSheetId="15">'Proforma D'!$K$29</definedName>
    <definedName name="rec" localSheetId="16">'Proforma E'!$K$29</definedName>
    <definedName name="rec" localSheetId="18">'Proforma E (1-2 min flow)'!$K$29</definedName>
    <definedName name="rec" localSheetId="17">'Proforma E (no min flow)'!$K$29</definedName>
    <definedName name="rec" localSheetId="19">'Proforma E-2'!$K$29</definedName>
    <definedName name="rec" localSheetId="20">'Proforma E-2 (no min flow)'!$K$29</definedName>
    <definedName name="rec" localSheetId="21">'Proforma E-3'!$K$29</definedName>
    <definedName name="rec" localSheetId="22">'Proforma F'!$K$29</definedName>
    <definedName name="rec" localSheetId="42">[4]Proforma!$H$27</definedName>
    <definedName name="rec" localSheetId="5">#REF!</definedName>
    <definedName name="rec">#REF!</definedName>
    <definedName name="recesc" localSheetId="42">[3]Inputs!$B$11</definedName>
    <definedName name="recesc">[3]Inputs!$B$11</definedName>
    <definedName name="sgrant" localSheetId="0">#REF!</definedName>
    <definedName name="sgrant" localSheetId="36">#REF!</definedName>
    <definedName name="sgrant" localSheetId="2">#REF!</definedName>
    <definedName name="sgrant" localSheetId="3">#REF!</definedName>
    <definedName name="sgrant" localSheetId="4">#REF!</definedName>
    <definedName name="sgrant" localSheetId="20">#REF!</definedName>
    <definedName name="sgrant" localSheetId="42">[8]Summary!$D$3</definedName>
    <definedName name="sgrant">#REF!</definedName>
    <definedName name="tax" localSheetId="0">#REF!</definedName>
    <definedName name="tax" localSheetId="24">#REF!</definedName>
    <definedName name="tax" localSheetId="25">#REF!</definedName>
    <definedName name="tax" localSheetId="26">#REF!</definedName>
    <definedName name="tax" localSheetId="27">#REF!</definedName>
    <definedName name="tax" localSheetId="30">#REF!</definedName>
    <definedName name="tax" localSheetId="28">#REF!</definedName>
    <definedName name="tax" localSheetId="29">#REF!</definedName>
    <definedName name="tax" localSheetId="31">#REF!</definedName>
    <definedName name="tax" localSheetId="32">#REF!</definedName>
    <definedName name="tax" localSheetId="35">#REF!</definedName>
    <definedName name="tax" localSheetId="37">#REF!</definedName>
    <definedName name="tax" localSheetId="33">#REF!</definedName>
    <definedName name="tax" localSheetId="34">#REF!</definedName>
    <definedName name="tax" localSheetId="38">#REF!</definedName>
    <definedName name="tax" localSheetId="39">#REF!</definedName>
    <definedName name="tax" localSheetId="36">#REF!</definedName>
    <definedName name="tax" localSheetId="2">#REF!</definedName>
    <definedName name="tax" localSheetId="3">#REF!</definedName>
    <definedName name="tax" localSheetId="4">#REF!</definedName>
    <definedName name="tax" localSheetId="10">#REF!</definedName>
    <definedName name="tax" localSheetId="9">#REF!</definedName>
    <definedName name="tax" localSheetId="13">#REF!</definedName>
    <definedName name="tax" localSheetId="12">#REF!</definedName>
    <definedName name="tax" localSheetId="14">#REF!</definedName>
    <definedName name="tax" localSheetId="16">#REF!</definedName>
    <definedName name="tax" localSheetId="18">#REF!</definedName>
    <definedName name="tax" localSheetId="17">#REF!</definedName>
    <definedName name="tax" localSheetId="19">#REF!</definedName>
    <definedName name="tax" localSheetId="20">#REF!</definedName>
    <definedName name="tax" localSheetId="21">#REF!</definedName>
    <definedName name="tax" localSheetId="22">#REF!</definedName>
    <definedName name="tax" localSheetId="42">#REF!</definedName>
    <definedName name="tax" localSheetId="5">#REF!</definedName>
    <definedName name="tax">#REF!</definedName>
    <definedName name="Term" localSheetId="0">#REF!</definedName>
    <definedName name="Term" localSheetId="36">#REF!</definedName>
    <definedName name="Term" localSheetId="2">#REF!</definedName>
    <definedName name="Term" localSheetId="3">#REF!</definedName>
    <definedName name="Term" localSheetId="4">#REF!</definedName>
    <definedName name="Term" localSheetId="20">#REF!</definedName>
    <definedName name="Term" localSheetId="42">'[5]Roll Up - Bulbs-A'!$T$50</definedName>
    <definedName name="Term">#REF!</definedName>
    <definedName name="year1" localSheetId="42">[3]Inputs!$B$2</definedName>
    <definedName name="year1">[3]Inputs!$B$2</definedName>
  </definedNames>
  <calcPr calcId="125725"/>
</workbook>
</file>

<file path=xl/calcChain.xml><?xml version="1.0" encoding="utf-8"?>
<calcChain xmlns="http://schemas.openxmlformats.org/spreadsheetml/2006/main">
  <c r="C11" i="111"/>
  <c r="E7" i="89"/>
  <c r="E7" i="116"/>
  <c r="E7" i="86"/>
  <c r="G35" i="78"/>
  <c r="F35"/>
  <c r="K29" i="117"/>
  <c r="E29"/>
  <c r="H27"/>
  <c r="E27"/>
  <c r="V18" s="1"/>
  <c r="W18"/>
  <c r="U18"/>
  <c r="S18"/>
  <c r="Q18"/>
  <c r="O18"/>
  <c r="M18"/>
  <c r="K18"/>
  <c r="I18"/>
  <c r="G18"/>
  <c r="E18"/>
  <c r="R6"/>
  <c r="H6"/>
  <c r="X18" i="59"/>
  <c r="Z18"/>
  <c r="B132" i="116"/>
  <c r="A132"/>
  <c r="B129"/>
  <c r="A129"/>
  <c r="B128"/>
  <c r="A128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F115"/>
  <c r="F114"/>
  <c r="F113"/>
  <c r="F112"/>
  <c r="F111"/>
  <c r="F106"/>
  <c r="E105"/>
  <c r="F105" s="1"/>
  <c r="F104"/>
  <c r="F103"/>
  <c r="E103"/>
  <c r="F102"/>
  <c r="F107" s="1"/>
  <c r="F129" s="1"/>
  <c r="F98"/>
  <c r="F97"/>
  <c r="F96"/>
  <c r="F95"/>
  <c r="F94"/>
  <c r="F99" s="1"/>
  <c r="F128" s="1"/>
  <c r="F90"/>
  <c r="F89"/>
  <c r="F88"/>
  <c r="F87"/>
  <c r="F86"/>
  <c r="F85"/>
  <c r="F91" s="1"/>
  <c r="F127" s="1"/>
  <c r="F81"/>
  <c r="F80"/>
  <c r="F79"/>
  <c r="F78"/>
  <c r="F77"/>
  <c r="F76"/>
  <c r="F82" s="1"/>
  <c r="F126" s="1"/>
  <c r="F72"/>
  <c r="F71"/>
  <c r="F70"/>
  <c r="F69"/>
  <c r="F68"/>
  <c r="F73" s="1"/>
  <c r="F125" s="1"/>
  <c r="F64"/>
  <c r="F63"/>
  <c r="F62"/>
  <c r="F61"/>
  <c r="F60"/>
  <c r="F59"/>
  <c r="F65" s="1"/>
  <c r="F124" s="1"/>
  <c r="F55"/>
  <c r="F54"/>
  <c r="F53"/>
  <c r="F52"/>
  <c r="F51"/>
  <c r="F50"/>
  <c r="F56" s="1"/>
  <c r="F123" s="1"/>
  <c r="F46"/>
  <c r="F45"/>
  <c r="F44"/>
  <c r="F43"/>
  <c r="F42"/>
  <c r="F47" s="1"/>
  <c r="F122" s="1"/>
  <c r="F38"/>
  <c r="F37"/>
  <c r="F36"/>
  <c r="E35"/>
  <c r="F35" s="1"/>
  <c r="F33"/>
  <c r="F29"/>
  <c r="F28"/>
  <c r="F27"/>
  <c r="F26"/>
  <c r="F25"/>
  <c r="F24"/>
  <c r="F23"/>
  <c r="F22"/>
  <c r="F21"/>
  <c r="F20"/>
  <c r="F19"/>
  <c r="F18"/>
  <c r="F17"/>
  <c r="F16"/>
  <c r="F15"/>
  <c r="F14"/>
  <c r="F13"/>
  <c r="F7"/>
  <c r="F6"/>
  <c r="F5"/>
  <c r="F4"/>
  <c r="F3"/>
  <c r="K25" i="59"/>
  <c r="J25"/>
  <c r="E35" i="78" s="1"/>
  <c r="I25" i="59"/>
  <c r="C35" i="78" s="1"/>
  <c r="E18"/>
  <c r="N27" i="117" l="1"/>
  <c r="K27"/>
  <c r="D5" s="1"/>
  <c r="M6"/>
  <c r="W6"/>
  <c r="D18"/>
  <c r="F18"/>
  <c r="H18"/>
  <c r="J18"/>
  <c r="L18"/>
  <c r="N18"/>
  <c r="P18"/>
  <c r="R18"/>
  <c r="T18"/>
  <c r="E34" i="116"/>
  <c r="F34" s="1"/>
  <c r="F39" s="1"/>
  <c r="F121" s="1"/>
  <c r="F30"/>
  <c r="F120" s="1"/>
  <c r="F8"/>
  <c r="F119" s="1"/>
  <c r="C18" i="78"/>
  <c r="C10" i="112" s="1"/>
  <c r="G18" i="78"/>
  <c r="F18"/>
  <c r="E10" i="111"/>
  <c r="D10"/>
  <c r="E6"/>
  <c r="E5"/>
  <c r="D6"/>
  <c r="D5"/>
  <c r="D4"/>
  <c r="E4"/>
  <c r="D9"/>
  <c r="E9"/>
  <c r="D14"/>
  <c r="E14"/>
  <c r="C14"/>
  <c r="C10"/>
  <c r="C9"/>
  <c r="C6"/>
  <c r="C5"/>
  <c r="C4"/>
  <c r="B14"/>
  <c r="B10"/>
  <c r="B9"/>
  <c r="B6"/>
  <c r="B5"/>
  <c r="B4"/>
  <c r="G15" i="78"/>
  <c r="F15"/>
  <c r="E15"/>
  <c r="C15"/>
  <c r="C6" i="110" s="1"/>
  <c r="R16" i="117" l="1"/>
  <c r="V15"/>
  <c r="M5"/>
  <c r="J16"/>
  <c r="H15"/>
  <c r="I16"/>
  <c r="N16"/>
  <c r="F16"/>
  <c r="P15"/>
  <c r="U5"/>
  <c r="E5"/>
  <c r="M15"/>
  <c r="T16"/>
  <c r="P16"/>
  <c r="L16"/>
  <c r="H16"/>
  <c r="D16"/>
  <c r="T15"/>
  <c r="L15"/>
  <c r="L20" s="1"/>
  <c r="D15"/>
  <c r="Q5"/>
  <c r="I5"/>
  <c r="Q16"/>
  <c r="U15"/>
  <c r="E15"/>
  <c r="P5"/>
  <c r="H5"/>
  <c r="R15"/>
  <c r="R20" s="1"/>
  <c r="N15"/>
  <c r="N20" s="1"/>
  <c r="J15"/>
  <c r="J20" s="1"/>
  <c r="F15"/>
  <c r="W5"/>
  <c r="S5"/>
  <c r="O5"/>
  <c r="K5"/>
  <c r="G5"/>
  <c r="U16"/>
  <c r="M16"/>
  <c r="E16"/>
  <c r="E20" s="1"/>
  <c r="Q15"/>
  <c r="I15"/>
  <c r="T5"/>
  <c r="L5"/>
  <c r="V16"/>
  <c r="V20" s="1"/>
  <c r="W16"/>
  <c r="O16"/>
  <c r="G16"/>
  <c r="S15"/>
  <c r="K15"/>
  <c r="V5"/>
  <c r="N5"/>
  <c r="F5"/>
  <c r="S16"/>
  <c r="K16"/>
  <c r="W15"/>
  <c r="O15"/>
  <c r="O20" s="1"/>
  <c r="G15"/>
  <c r="G20" s="1"/>
  <c r="R5"/>
  <c r="J5"/>
  <c r="M20"/>
  <c r="P20"/>
  <c r="F130" i="116"/>
  <c r="E110" s="1"/>
  <c r="F110" s="1"/>
  <c r="F116" s="1"/>
  <c r="F132" s="1"/>
  <c r="F133" s="1"/>
  <c r="D135" s="1"/>
  <c r="F135" s="1"/>
  <c r="F137" s="1"/>
  <c r="C4" i="117" s="1"/>
  <c r="C10" i="113"/>
  <c r="C10" i="110"/>
  <c r="E24" i="105"/>
  <c r="E29" i="76"/>
  <c r="H20" i="117" l="1"/>
  <c r="I20"/>
  <c r="U20"/>
  <c r="F20"/>
  <c r="Q20"/>
  <c r="D20"/>
  <c r="T20"/>
  <c r="C10"/>
  <c r="B35" i="78" s="1"/>
  <c r="D35" s="1"/>
  <c r="T8" i="117"/>
  <c r="P8"/>
  <c r="L8"/>
  <c r="H8"/>
  <c r="H10" s="1"/>
  <c r="D8"/>
  <c r="T7"/>
  <c r="P7"/>
  <c r="L7"/>
  <c r="H7"/>
  <c r="D7"/>
  <c r="D10" s="1"/>
  <c r="V8"/>
  <c r="R8"/>
  <c r="R10" s="1"/>
  <c r="R23" s="1"/>
  <c r="R24" s="1"/>
  <c r="N8"/>
  <c r="J8"/>
  <c r="F8"/>
  <c r="V7"/>
  <c r="V10" s="1"/>
  <c r="V23" s="1"/>
  <c r="R7"/>
  <c r="N7"/>
  <c r="N10" s="1"/>
  <c r="N23" s="1"/>
  <c r="N24" s="1"/>
  <c r="J7"/>
  <c r="F7"/>
  <c r="X21"/>
  <c r="G7"/>
  <c r="G10" s="1"/>
  <c r="G23" s="1"/>
  <c r="G24" s="1"/>
  <c r="K7"/>
  <c r="O7"/>
  <c r="O10" s="1"/>
  <c r="O23" s="1"/>
  <c r="O24" s="1"/>
  <c r="S7"/>
  <c r="W7"/>
  <c r="W10" s="1"/>
  <c r="G8"/>
  <c r="K8"/>
  <c r="O8"/>
  <c r="S8"/>
  <c r="W8"/>
  <c r="E7"/>
  <c r="E10" s="1"/>
  <c r="E23" s="1"/>
  <c r="E24" s="1"/>
  <c r="I7"/>
  <c r="M7"/>
  <c r="M10" s="1"/>
  <c r="M23" s="1"/>
  <c r="M24" s="1"/>
  <c r="Q7"/>
  <c r="U7"/>
  <c r="U10" s="1"/>
  <c r="E8"/>
  <c r="I8"/>
  <c r="M8"/>
  <c r="Q8"/>
  <c r="U8"/>
  <c r="D23"/>
  <c r="D24" s="1"/>
  <c r="J10"/>
  <c r="L10"/>
  <c r="L23" s="1"/>
  <c r="L24" s="1"/>
  <c r="F10"/>
  <c r="T10"/>
  <c r="J23"/>
  <c r="J24" s="1"/>
  <c r="S20"/>
  <c r="K20"/>
  <c r="E28" i="78"/>
  <c r="C28"/>
  <c r="C11" i="112" s="1"/>
  <c r="D4" i="35"/>
  <c r="E7" i="101" s="1"/>
  <c r="D3" i="35"/>
  <c r="E7" i="81" s="1"/>
  <c r="D2" i="35"/>
  <c r="T23" i="117" l="1"/>
  <c r="T24" s="1"/>
  <c r="U23"/>
  <c r="U24" s="1"/>
  <c r="H23"/>
  <c r="H24" s="1"/>
  <c r="F23"/>
  <c r="F24" s="1"/>
  <c r="V24"/>
  <c r="W19"/>
  <c r="W20" s="1"/>
  <c r="W23" s="1"/>
  <c r="W24" s="1"/>
  <c r="X22"/>
  <c r="Q10"/>
  <c r="Q23" s="1"/>
  <c r="Q24" s="1"/>
  <c r="I10"/>
  <c r="I23" s="1"/>
  <c r="I24" s="1"/>
  <c r="S10"/>
  <c r="S23" s="1"/>
  <c r="S24" s="1"/>
  <c r="K10"/>
  <c r="K23" s="1"/>
  <c r="K24" s="1"/>
  <c r="P10"/>
  <c r="P23" s="1"/>
  <c r="P24" s="1"/>
  <c r="E7" i="74"/>
  <c r="E7" i="102"/>
  <c r="E7" i="103"/>
  <c r="E7" i="85"/>
  <c r="E7" i="105"/>
  <c r="E7" i="80"/>
  <c r="E7" i="104"/>
  <c r="E7" i="106"/>
  <c r="E29" i="58"/>
  <c r="E29" i="97"/>
  <c r="E29" i="94"/>
  <c r="E29" i="5"/>
  <c r="E29" i="98"/>
  <c r="E29" i="95"/>
  <c r="E29" i="90"/>
  <c r="E29" i="62"/>
  <c r="E29" i="75"/>
  <c r="E29" i="99"/>
  <c r="E29" i="96"/>
  <c r="E29" i="92"/>
  <c r="E29" i="93"/>
  <c r="E29" i="57"/>
  <c r="D30" i="108" l="1"/>
  <c r="D29"/>
  <c r="D28"/>
  <c r="D27"/>
  <c r="E13" i="101" l="1"/>
  <c r="E13" i="105"/>
  <c r="E13" i="81"/>
  <c r="E13" i="80"/>
  <c r="E13" i="74"/>
  <c r="E13" i="83"/>
  <c r="E13" i="102"/>
  <c r="E13" i="106"/>
  <c r="E13" i="84"/>
  <c r="E13" i="104"/>
  <c r="E13" i="40"/>
  <c r="G34" i="78"/>
  <c r="F34"/>
  <c r="G33"/>
  <c r="F33"/>
  <c r="G32"/>
  <c r="F32"/>
  <c r="G28"/>
  <c r="F28"/>
  <c r="G27"/>
  <c r="F27"/>
  <c r="G26"/>
  <c r="F26"/>
  <c r="F16"/>
  <c r="G16"/>
  <c r="F17"/>
  <c r="G17"/>
  <c r="F19"/>
  <c r="G19"/>
  <c r="F20"/>
  <c r="G20"/>
  <c r="F21"/>
  <c r="G21"/>
  <c r="F22"/>
  <c r="G22"/>
  <c r="N27" i="93"/>
  <c r="K27"/>
  <c r="N27" i="92"/>
  <c r="K27"/>
  <c r="N27" i="90"/>
  <c r="K27"/>
  <c r="M24" i="59"/>
  <c r="M23"/>
  <c r="M22"/>
  <c r="M18"/>
  <c r="M17"/>
  <c r="M16"/>
  <c r="M5"/>
  <c r="M6"/>
  <c r="M7"/>
  <c r="M8"/>
  <c r="M9"/>
  <c r="M10"/>
  <c r="M11"/>
  <c r="M12"/>
  <c r="M4"/>
  <c r="E13" i="103"/>
  <c r="D24" i="109"/>
  <c r="D23"/>
  <c r="D22"/>
  <c r="D21"/>
  <c r="D20"/>
  <c r="D19"/>
  <c r="D18"/>
  <c r="C24"/>
  <c r="E24" s="1"/>
  <c r="C23"/>
  <c r="E23" s="1"/>
  <c r="C22"/>
  <c r="E22" s="1"/>
  <c r="C21"/>
  <c r="E21" s="1"/>
  <c r="C20"/>
  <c r="E20" s="1"/>
  <c r="C19"/>
  <c r="E19" s="1"/>
  <c r="C18"/>
  <c r="E18" s="1"/>
  <c r="C17"/>
  <c r="E17" s="1"/>
  <c r="G13"/>
  <c r="F13"/>
  <c r="G12"/>
  <c r="E12"/>
  <c r="F12" s="1"/>
  <c r="G11"/>
  <c r="F11"/>
  <c r="G10"/>
  <c r="E10"/>
  <c r="F10" s="1"/>
  <c r="F6"/>
  <c r="E5"/>
  <c r="F5" s="1"/>
  <c r="E4"/>
  <c r="F4" s="1"/>
  <c r="F3"/>
  <c r="E2"/>
  <c r="F2" s="1"/>
  <c r="F18" l="1"/>
  <c r="G18" s="1"/>
  <c r="E24" i="85" s="1"/>
  <c r="F20" i="109"/>
  <c r="G20" s="1"/>
  <c r="F22"/>
  <c r="G22" s="1"/>
  <c r="F24"/>
  <c r="G24" s="1"/>
  <c r="F17"/>
  <c r="G17" s="1"/>
  <c r="F19"/>
  <c r="G19" s="1"/>
  <c r="F21"/>
  <c r="G21" s="1"/>
  <c r="F23"/>
  <c r="G23" s="1"/>
  <c r="E24" i="101" l="1"/>
  <c r="F24" s="1"/>
  <c r="E24" i="103"/>
  <c r="E24" i="104"/>
  <c r="F24" s="1"/>
  <c r="E24" i="106"/>
  <c r="E24" i="102"/>
  <c r="F24" s="1"/>
  <c r="E24" i="81"/>
  <c r="E24" i="74"/>
  <c r="E24" i="86"/>
  <c r="E24" i="80"/>
  <c r="E24" i="89"/>
  <c r="C9" i="108"/>
  <c r="C10"/>
  <c r="C11"/>
  <c r="C12"/>
  <c r="C8"/>
  <c r="C25" i="66"/>
  <c r="D25" s="1"/>
  <c r="F27" i="79"/>
  <c r="F17"/>
  <c r="F12"/>
  <c r="C29" i="66"/>
  <c r="D29" s="1"/>
  <c r="C28"/>
  <c r="C27"/>
  <c r="D27" s="1"/>
  <c r="F33" i="86" s="1"/>
  <c r="C26" i="66"/>
  <c r="D20"/>
  <c r="D28"/>
  <c r="E33" i="105" s="1"/>
  <c r="D26" i="66"/>
  <c r="F13" i="104"/>
  <c r="C30" i="108"/>
  <c r="C29"/>
  <c r="F13" i="86"/>
  <c r="C28" i="108"/>
  <c r="C27"/>
  <c r="E5"/>
  <c r="D5"/>
  <c r="E4"/>
  <c r="D4"/>
  <c r="E3"/>
  <c r="D3"/>
  <c r="E2"/>
  <c r="D2"/>
  <c r="J3" i="66"/>
  <c r="J4"/>
  <c r="J5"/>
  <c r="J6"/>
  <c r="J2"/>
  <c r="E33" i="78"/>
  <c r="E34"/>
  <c r="C33"/>
  <c r="C7" i="113" s="1"/>
  <c r="C34" i="78"/>
  <c r="C11" i="113" s="1"/>
  <c r="E32" i="78"/>
  <c r="C32"/>
  <c r="C6" i="113" s="1"/>
  <c r="E27" i="78"/>
  <c r="C27"/>
  <c r="C7" i="112" s="1"/>
  <c r="E26" i="78"/>
  <c r="C26"/>
  <c r="C6" i="112" s="1"/>
  <c r="K27" i="96"/>
  <c r="N27"/>
  <c r="K27" i="99"/>
  <c r="N27"/>
  <c r="K27" i="95"/>
  <c r="N27"/>
  <c r="K27" i="98"/>
  <c r="N27"/>
  <c r="K27" i="97"/>
  <c r="N27"/>
  <c r="K27" i="94"/>
  <c r="N27"/>
  <c r="B132" i="106"/>
  <c r="A132"/>
  <c r="B129"/>
  <c r="A129"/>
  <c r="B128"/>
  <c r="A128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F115"/>
  <c r="F114"/>
  <c r="F113"/>
  <c r="F112"/>
  <c r="F111"/>
  <c r="F106"/>
  <c r="F104"/>
  <c r="F102"/>
  <c r="F98"/>
  <c r="F97"/>
  <c r="F96"/>
  <c r="F95"/>
  <c r="F94"/>
  <c r="F90"/>
  <c r="F89"/>
  <c r="F88"/>
  <c r="F87"/>
  <c r="F86"/>
  <c r="F85"/>
  <c r="F81"/>
  <c r="F80"/>
  <c r="F79"/>
  <c r="F78"/>
  <c r="F77"/>
  <c r="F76"/>
  <c r="F82" s="1"/>
  <c r="F126" s="1"/>
  <c r="F72"/>
  <c r="F71"/>
  <c r="F70"/>
  <c r="F69"/>
  <c r="F68"/>
  <c r="F64"/>
  <c r="F63"/>
  <c r="F62"/>
  <c r="F61"/>
  <c r="F60"/>
  <c r="F59"/>
  <c r="F55"/>
  <c r="F54"/>
  <c r="F53"/>
  <c r="F52"/>
  <c r="F51"/>
  <c r="F50"/>
  <c r="F46"/>
  <c r="F45"/>
  <c r="F44"/>
  <c r="F43"/>
  <c r="F42"/>
  <c r="F38"/>
  <c r="F37"/>
  <c r="F36"/>
  <c r="F29"/>
  <c r="F28"/>
  <c r="F27"/>
  <c r="F26"/>
  <c r="F25"/>
  <c r="F24"/>
  <c r="F23"/>
  <c r="F22"/>
  <c r="F21"/>
  <c r="F20"/>
  <c r="F19"/>
  <c r="F18"/>
  <c r="F17"/>
  <c r="F16"/>
  <c r="F15"/>
  <c r="F14"/>
  <c r="F6"/>
  <c r="F5"/>
  <c r="F4"/>
  <c r="F3"/>
  <c r="B132" i="105"/>
  <c r="A132"/>
  <c r="B129"/>
  <c r="A129"/>
  <c r="B128"/>
  <c r="A128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F115"/>
  <c r="F114"/>
  <c r="F113"/>
  <c r="F112"/>
  <c r="F111"/>
  <c r="F106"/>
  <c r="F104"/>
  <c r="F102"/>
  <c r="F98"/>
  <c r="F97"/>
  <c r="F96"/>
  <c r="F95"/>
  <c r="F94"/>
  <c r="F90"/>
  <c r="F89"/>
  <c r="F88"/>
  <c r="F87"/>
  <c r="F86"/>
  <c r="F85"/>
  <c r="F81"/>
  <c r="F80"/>
  <c r="F79"/>
  <c r="F78"/>
  <c r="F77"/>
  <c r="F76"/>
  <c r="F72"/>
  <c r="F71"/>
  <c r="F70"/>
  <c r="F69"/>
  <c r="F68"/>
  <c r="F64"/>
  <c r="F63"/>
  <c r="F62"/>
  <c r="F61"/>
  <c r="F60"/>
  <c r="F59"/>
  <c r="F55"/>
  <c r="F54"/>
  <c r="F53"/>
  <c r="F52"/>
  <c r="F51"/>
  <c r="F50"/>
  <c r="F46"/>
  <c r="F45"/>
  <c r="F44"/>
  <c r="F43"/>
  <c r="F42"/>
  <c r="F38"/>
  <c r="F37"/>
  <c r="F36"/>
  <c r="F29"/>
  <c r="F28"/>
  <c r="F27"/>
  <c r="F26"/>
  <c r="F25"/>
  <c r="F24"/>
  <c r="F23"/>
  <c r="F22"/>
  <c r="F21"/>
  <c r="F20"/>
  <c r="F19"/>
  <c r="F18"/>
  <c r="F17"/>
  <c r="F16"/>
  <c r="F15"/>
  <c r="F14"/>
  <c r="F6"/>
  <c r="F5"/>
  <c r="F4"/>
  <c r="F3"/>
  <c r="B132" i="104"/>
  <c r="A132"/>
  <c r="B129"/>
  <c r="A129"/>
  <c r="B128"/>
  <c r="A128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F115"/>
  <c r="F114"/>
  <c r="F113"/>
  <c r="F112"/>
  <c r="F111"/>
  <c r="F106"/>
  <c r="F104"/>
  <c r="F102"/>
  <c r="F98"/>
  <c r="F97"/>
  <c r="F96"/>
  <c r="F95"/>
  <c r="F94"/>
  <c r="F99" s="1"/>
  <c r="F128" s="1"/>
  <c r="F90"/>
  <c r="O89"/>
  <c r="F89"/>
  <c r="F88"/>
  <c r="F87"/>
  <c r="F86"/>
  <c r="F85"/>
  <c r="F81"/>
  <c r="F80"/>
  <c r="F79"/>
  <c r="F78"/>
  <c r="F77"/>
  <c r="F76"/>
  <c r="F72"/>
  <c r="F71"/>
  <c r="F70"/>
  <c r="F69"/>
  <c r="F68"/>
  <c r="F73" s="1"/>
  <c r="F125" s="1"/>
  <c r="F64"/>
  <c r="F63"/>
  <c r="F62"/>
  <c r="F61"/>
  <c r="F60"/>
  <c r="F59"/>
  <c r="F65" s="1"/>
  <c r="F124" s="1"/>
  <c r="F55"/>
  <c r="F54"/>
  <c r="F53"/>
  <c r="F52"/>
  <c r="F51"/>
  <c r="F50"/>
  <c r="F56" s="1"/>
  <c r="F123" s="1"/>
  <c r="F46"/>
  <c r="F45"/>
  <c r="F44"/>
  <c r="F43"/>
  <c r="F42"/>
  <c r="F38"/>
  <c r="F37"/>
  <c r="F36"/>
  <c r="J33"/>
  <c r="F29"/>
  <c r="F28"/>
  <c r="F27"/>
  <c r="F26"/>
  <c r="F25"/>
  <c r="F23"/>
  <c r="F22"/>
  <c r="F21"/>
  <c r="F20"/>
  <c r="F19"/>
  <c r="F18"/>
  <c r="F17"/>
  <c r="F16"/>
  <c r="F15"/>
  <c r="F14"/>
  <c r="F6"/>
  <c r="F5"/>
  <c r="F4"/>
  <c r="F3"/>
  <c r="B132" i="103"/>
  <c r="A132"/>
  <c r="B129"/>
  <c r="A129"/>
  <c r="B128"/>
  <c r="A128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F115"/>
  <c r="F114"/>
  <c r="F113"/>
  <c r="F112"/>
  <c r="F111"/>
  <c r="F106"/>
  <c r="F104"/>
  <c r="F102"/>
  <c r="F98"/>
  <c r="F97"/>
  <c r="F96"/>
  <c r="F95"/>
  <c r="F94"/>
  <c r="F90"/>
  <c r="O89"/>
  <c r="F89"/>
  <c r="F88"/>
  <c r="F87"/>
  <c r="F86"/>
  <c r="F85"/>
  <c r="F81"/>
  <c r="F80"/>
  <c r="F79"/>
  <c r="F78"/>
  <c r="F77"/>
  <c r="F76"/>
  <c r="F72"/>
  <c r="F71"/>
  <c r="F70"/>
  <c r="F69"/>
  <c r="F68"/>
  <c r="F64"/>
  <c r="F63"/>
  <c r="F62"/>
  <c r="F61"/>
  <c r="F60"/>
  <c r="F59"/>
  <c r="F55"/>
  <c r="F54"/>
  <c r="F53"/>
  <c r="F52"/>
  <c r="F51"/>
  <c r="F50"/>
  <c r="F46"/>
  <c r="F45"/>
  <c r="F44"/>
  <c r="F43"/>
  <c r="F42"/>
  <c r="F38"/>
  <c r="F37"/>
  <c r="F36"/>
  <c r="J33"/>
  <c r="F29"/>
  <c r="F28"/>
  <c r="F27"/>
  <c r="F26"/>
  <c r="F25"/>
  <c r="F24"/>
  <c r="F23"/>
  <c r="F22"/>
  <c r="F21"/>
  <c r="F20"/>
  <c r="F19"/>
  <c r="F18"/>
  <c r="F17"/>
  <c r="F16"/>
  <c r="F15"/>
  <c r="F14"/>
  <c r="F13"/>
  <c r="F6"/>
  <c r="F5"/>
  <c r="F4"/>
  <c r="F3"/>
  <c r="B132" i="102"/>
  <c r="A132"/>
  <c r="B129"/>
  <c r="A129"/>
  <c r="B128"/>
  <c r="A128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F115"/>
  <c r="F114"/>
  <c r="F113"/>
  <c r="F112"/>
  <c r="F111"/>
  <c r="F106"/>
  <c r="F104"/>
  <c r="F102"/>
  <c r="F98"/>
  <c r="F97"/>
  <c r="F96"/>
  <c r="F95"/>
  <c r="F94"/>
  <c r="F90"/>
  <c r="F89"/>
  <c r="F88"/>
  <c r="F87"/>
  <c r="F86"/>
  <c r="F85"/>
  <c r="F91" s="1"/>
  <c r="F127" s="1"/>
  <c r="F81"/>
  <c r="F80"/>
  <c r="F79"/>
  <c r="F78"/>
  <c r="F77"/>
  <c r="F76"/>
  <c r="F72"/>
  <c r="F71"/>
  <c r="F70"/>
  <c r="F69"/>
  <c r="F68"/>
  <c r="F64"/>
  <c r="F63"/>
  <c r="F62"/>
  <c r="F61"/>
  <c r="F60"/>
  <c r="F59"/>
  <c r="F55"/>
  <c r="F54"/>
  <c r="F53"/>
  <c r="F52"/>
  <c r="F51"/>
  <c r="F50"/>
  <c r="F46"/>
  <c r="F45"/>
  <c r="F44"/>
  <c r="F43"/>
  <c r="F42"/>
  <c r="F47" s="1"/>
  <c r="F122" s="1"/>
  <c r="F38"/>
  <c r="F37"/>
  <c r="F36"/>
  <c r="J33"/>
  <c r="F29"/>
  <c r="F28"/>
  <c r="F27"/>
  <c r="F26"/>
  <c r="F25"/>
  <c r="F23"/>
  <c r="F22"/>
  <c r="F21"/>
  <c r="F20"/>
  <c r="F19"/>
  <c r="F18"/>
  <c r="F17"/>
  <c r="F16"/>
  <c r="F15"/>
  <c r="F14"/>
  <c r="F6"/>
  <c r="F5"/>
  <c r="F4"/>
  <c r="F3"/>
  <c r="B132" i="101"/>
  <c r="A132"/>
  <c r="B129"/>
  <c r="A129"/>
  <c r="B128"/>
  <c r="A128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F115"/>
  <c r="F114"/>
  <c r="F113"/>
  <c r="F112"/>
  <c r="F111"/>
  <c r="F106"/>
  <c r="F104"/>
  <c r="F102"/>
  <c r="F98"/>
  <c r="F97"/>
  <c r="F96"/>
  <c r="F95"/>
  <c r="F94"/>
  <c r="F90"/>
  <c r="F89"/>
  <c r="F88"/>
  <c r="F87"/>
  <c r="F86"/>
  <c r="F85"/>
  <c r="F81"/>
  <c r="F80"/>
  <c r="F79"/>
  <c r="F78"/>
  <c r="F77"/>
  <c r="F76"/>
  <c r="F72"/>
  <c r="F71"/>
  <c r="F70"/>
  <c r="F69"/>
  <c r="F68"/>
  <c r="F64"/>
  <c r="F63"/>
  <c r="F62"/>
  <c r="F61"/>
  <c r="F60"/>
  <c r="F59"/>
  <c r="F55"/>
  <c r="F54"/>
  <c r="F53"/>
  <c r="F52"/>
  <c r="F51"/>
  <c r="F50"/>
  <c r="F46"/>
  <c r="F45"/>
  <c r="F44"/>
  <c r="F43"/>
  <c r="F42"/>
  <c r="F38"/>
  <c r="F37"/>
  <c r="F36"/>
  <c r="J33"/>
  <c r="F29"/>
  <c r="F28"/>
  <c r="F27"/>
  <c r="F26"/>
  <c r="F25"/>
  <c r="F23"/>
  <c r="F22"/>
  <c r="F21"/>
  <c r="F20"/>
  <c r="F19"/>
  <c r="F18"/>
  <c r="F17"/>
  <c r="F16"/>
  <c r="F15"/>
  <c r="F14"/>
  <c r="F13"/>
  <c r="F6"/>
  <c r="F5"/>
  <c r="F4"/>
  <c r="F3"/>
  <c r="E22" i="59"/>
  <c r="D22"/>
  <c r="K29" i="99"/>
  <c r="H27"/>
  <c r="E27"/>
  <c r="R6" s="1"/>
  <c r="K29" i="98"/>
  <c r="H27"/>
  <c r="E27"/>
  <c r="P16" s="1"/>
  <c r="K29" i="97"/>
  <c r="H27"/>
  <c r="E27"/>
  <c r="W6" s="1"/>
  <c r="K29" i="96"/>
  <c r="H27"/>
  <c r="E27"/>
  <c r="R6" s="1"/>
  <c r="K29" i="95"/>
  <c r="H27"/>
  <c r="E27"/>
  <c r="K29" i="94"/>
  <c r="H27"/>
  <c r="E27"/>
  <c r="N27" i="62"/>
  <c r="K27"/>
  <c r="K29" i="58"/>
  <c r="K29" i="5"/>
  <c r="K29" i="90"/>
  <c r="K29" i="62"/>
  <c r="K29" i="75"/>
  <c r="K29" i="92"/>
  <c r="K29" i="93"/>
  <c r="K29" i="76"/>
  <c r="K29" i="57"/>
  <c r="H27" i="58"/>
  <c r="H27" i="5"/>
  <c r="H27" i="90"/>
  <c r="H27" i="62"/>
  <c r="H27" i="75"/>
  <c r="H27" i="92"/>
  <c r="H27" i="93"/>
  <c r="H27" i="76"/>
  <c r="H27" i="57"/>
  <c r="E27" i="58"/>
  <c r="E27" i="5"/>
  <c r="E27" i="90"/>
  <c r="E27" i="62"/>
  <c r="E27" i="75"/>
  <c r="E27" i="92"/>
  <c r="W6" s="1"/>
  <c r="E27" i="93"/>
  <c r="E27" i="76"/>
  <c r="E27" i="57"/>
  <c r="E21" i="78"/>
  <c r="D11" i="114" s="1"/>
  <c r="E20" i="78"/>
  <c r="D10" i="114" s="1"/>
  <c r="E17" i="78"/>
  <c r="D6" i="114" s="1"/>
  <c r="C21" i="78"/>
  <c r="C11" i="114" s="1"/>
  <c r="C20" i="78"/>
  <c r="C10" i="114" s="1"/>
  <c r="C17" i="78"/>
  <c r="C6" i="114" s="1"/>
  <c r="R6" i="92"/>
  <c r="W6" i="90"/>
  <c r="R6"/>
  <c r="M6"/>
  <c r="H6"/>
  <c r="F106" i="86"/>
  <c r="F104"/>
  <c r="F102"/>
  <c r="F98"/>
  <c r="F97"/>
  <c r="F96"/>
  <c r="F95"/>
  <c r="F94"/>
  <c r="F90"/>
  <c r="F89"/>
  <c r="F88"/>
  <c r="F87"/>
  <c r="F86"/>
  <c r="F85"/>
  <c r="F91" s="1"/>
  <c r="F81"/>
  <c r="F80"/>
  <c r="F79"/>
  <c r="F78"/>
  <c r="F77"/>
  <c r="F76"/>
  <c r="F82" s="1"/>
  <c r="F72"/>
  <c r="F71"/>
  <c r="F70"/>
  <c r="F69"/>
  <c r="F73" s="1"/>
  <c r="F68"/>
  <c r="F64"/>
  <c r="F63"/>
  <c r="F62"/>
  <c r="F61"/>
  <c r="F60"/>
  <c r="F59"/>
  <c r="F55"/>
  <c r="F54"/>
  <c r="F53"/>
  <c r="F52"/>
  <c r="F51"/>
  <c r="F50"/>
  <c r="F46"/>
  <c r="F45"/>
  <c r="F44"/>
  <c r="F43"/>
  <c r="F42"/>
  <c r="F38"/>
  <c r="F37"/>
  <c r="F36"/>
  <c r="F29"/>
  <c r="F28"/>
  <c r="F27"/>
  <c r="F26"/>
  <c r="F25"/>
  <c r="F24"/>
  <c r="F23"/>
  <c r="F22"/>
  <c r="F21"/>
  <c r="F20"/>
  <c r="F19"/>
  <c r="F18"/>
  <c r="F17"/>
  <c r="F16"/>
  <c r="F15"/>
  <c r="F14"/>
  <c r="B132" i="89"/>
  <c r="A132"/>
  <c r="B129"/>
  <c r="A129"/>
  <c r="B128"/>
  <c r="A128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F115"/>
  <c r="F114"/>
  <c r="F113"/>
  <c r="F112"/>
  <c r="F111"/>
  <c r="F106"/>
  <c r="F104"/>
  <c r="F102"/>
  <c r="F98"/>
  <c r="F97"/>
  <c r="F96"/>
  <c r="F95"/>
  <c r="F94"/>
  <c r="F99" s="1"/>
  <c r="F128" s="1"/>
  <c r="F90"/>
  <c r="F89"/>
  <c r="F88"/>
  <c r="F87"/>
  <c r="F86"/>
  <c r="F85"/>
  <c r="F81"/>
  <c r="F80"/>
  <c r="F79"/>
  <c r="F78"/>
  <c r="F77"/>
  <c r="F76"/>
  <c r="F82" s="1"/>
  <c r="F126" s="1"/>
  <c r="F72"/>
  <c r="F71"/>
  <c r="F70"/>
  <c r="F69"/>
  <c r="F68"/>
  <c r="F64"/>
  <c r="F63"/>
  <c r="F62"/>
  <c r="F61"/>
  <c r="F60"/>
  <c r="F59"/>
  <c r="F55"/>
  <c r="F54"/>
  <c r="F53"/>
  <c r="F52"/>
  <c r="F51"/>
  <c r="F50"/>
  <c r="F46"/>
  <c r="F45"/>
  <c r="F44"/>
  <c r="F43"/>
  <c r="F42"/>
  <c r="F47" s="1"/>
  <c r="F122" s="1"/>
  <c r="F38"/>
  <c r="F37"/>
  <c r="F36"/>
  <c r="F33"/>
  <c r="F29"/>
  <c r="F28"/>
  <c r="F27"/>
  <c r="F26"/>
  <c r="F25"/>
  <c r="F24"/>
  <c r="F23"/>
  <c r="F22"/>
  <c r="F21"/>
  <c r="F20"/>
  <c r="F19"/>
  <c r="F18"/>
  <c r="F17"/>
  <c r="F16"/>
  <c r="F15"/>
  <c r="F14"/>
  <c r="F13"/>
  <c r="F6"/>
  <c r="F5"/>
  <c r="F4"/>
  <c r="F3"/>
  <c r="W6" i="93" l="1"/>
  <c r="W15"/>
  <c r="S15"/>
  <c r="O15"/>
  <c r="K15"/>
  <c r="G15"/>
  <c r="T15"/>
  <c r="P15"/>
  <c r="L15"/>
  <c r="H15"/>
  <c r="E15"/>
  <c r="U15"/>
  <c r="Q15"/>
  <c r="M15"/>
  <c r="I15"/>
  <c r="V15"/>
  <c r="R15"/>
  <c r="N15"/>
  <c r="J15"/>
  <c r="F15"/>
  <c r="F91" i="89"/>
  <c r="F127" s="1"/>
  <c r="F82" i="102"/>
  <c r="F126" s="1"/>
  <c r="F56" i="86"/>
  <c r="F73" i="103"/>
  <c r="F125" s="1"/>
  <c r="F82"/>
  <c r="F126" s="1"/>
  <c r="F91"/>
  <c r="F127" s="1"/>
  <c r="F56" i="105"/>
  <c r="F123" s="1"/>
  <c r="F65"/>
  <c r="F124" s="1"/>
  <c r="R6" i="93"/>
  <c r="M6" i="98"/>
  <c r="E33" i="83"/>
  <c r="E33" i="102"/>
  <c r="E33" i="106"/>
  <c r="E33" i="84"/>
  <c r="E33" i="104"/>
  <c r="E33" i="40"/>
  <c r="E33" i="80"/>
  <c r="E33" i="74"/>
  <c r="E33" i="81"/>
  <c r="E33" i="103"/>
  <c r="F33" s="1"/>
  <c r="E33" i="101"/>
  <c r="F33" s="1"/>
  <c r="W6" i="98"/>
  <c r="H6" i="93"/>
  <c r="H6" i="97"/>
  <c r="H6" i="98"/>
  <c r="R6"/>
  <c r="G15"/>
  <c r="M6" i="96"/>
  <c r="W5" i="92"/>
  <c r="U5"/>
  <c r="S5"/>
  <c r="Q5"/>
  <c r="O5"/>
  <c r="M5"/>
  <c r="K5"/>
  <c r="I5"/>
  <c r="G5"/>
  <c r="E5"/>
  <c r="D5"/>
  <c r="V5"/>
  <c r="T5"/>
  <c r="R5"/>
  <c r="P5"/>
  <c r="N5"/>
  <c r="L5"/>
  <c r="J5"/>
  <c r="H5"/>
  <c r="F5"/>
  <c r="J16" i="96"/>
  <c r="W5" i="94"/>
  <c r="U5"/>
  <c r="V5"/>
  <c r="T5"/>
  <c r="S5"/>
  <c r="Q5"/>
  <c r="O5"/>
  <c r="M5"/>
  <c r="K5"/>
  <c r="I5"/>
  <c r="G5"/>
  <c r="E5"/>
  <c r="D5"/>
  <c r="R5"/>
  <c r="P5"/>
  <c r="N5"/>
  <c r="L5"/>
  <c r="J5"/>
  <c r="H5"/>
  <c r="F5"/>
  <c r="V5" i="97"/>
  <c r="T5"/>
  <c r="R5"/>
  <c r="P5"/>
  <c r="N5"/>
  <c r="L5"/>
  <c r="J5"/>
  <c r="H5"/>
  <c r="F5"/>
  <c r="W5"/>
  <c r="U5"/>
  <c r="S5"/>
  <c r="Q5"/>
  <c r="O5"/>
  <c r="M5"/>
  <c r="K5"/>
  <c r="I5"/>
  <c r="G5"/>
  <c r="E5"/>
  <c r="D5"/>
  <c r="S15" i="98"/>
  <c r="W5"/>
  <c r="U5"/>
  <c r="S5"/>
  <c r="Q5"/>
  <c r="O5"/>
  <c r="M5"/>
  <c r="K5"/>
  <c r="I5"/>
  <c r="G5"/>
  <c r="E5"/>
  <c r="D5"/>
  <c r="V5"/>
  <c r="T5"/>
  <c r="R5"/>
  <c r="P5"/>
  <c r="N5"/>
  <c r="L5"/>
  <c r="J5"/>
  <c r="H5"/>
  <c r="F5"/>
  <c r="V5" i="95"/>
  <c r="T5"/>
  <c r="R5"/>
  <c r="P5"/>
  <c r="N5"/>
  <c r="L5"/>
  <c r="J5"/>
  <c r="H5"/>
  <c r="F5"/>
  <c r="W5"/>
  <c r="U5"/>
  <c r="S5"/>
  <c r="Q5"/>
  <c r="O5"/>
  <c r="M5"/>
  <c r="K5"/>
  <c r="I5"/>
  <c r="G5"/>
  <c r="E5"/>
  <c r="D5"/>
  <c r="W5" i="99"/>
  <c r="U5"/>
  <c r="S5"/>
  <c r="Q5"/>
  <c r="O5"/>
  <c r="M5"/>
  <c r="K5"/>
  <c r="I5"/>
  <c r="G5"/>
  <c r="E5"/>
  <c r="D5"/>
  <c r="V5"/>
  <c r="T5"/>
  <c r="R5"/>
  <c r="P5"/>
  <c r="N5"/>
  <c r="L5"/>
  <c r="J5"/>
  <c r="H5"/>
  <c r="F5"/>
  <c r="V5" i="96"/>
  <c r="T5"/>
  <c r="R5"/>
  <c r="P5"/>
  <c r="N5"/>
  <c r="L5"/>
  <c r="J5"/>
  <c r="H5"/>
  <c r="F5"/>
  <c r="W5"/>
  <c r="U5"/>
  <c r="S5"/>
  <c r="Q5"/>
  <c r="O5"/>
  <c r="M5"/>
  <c r="K5"/>
  <c r="I5"/>
  <c r="G5"/>
  <c r="E5"/>
  <c r="D5"/>
  <c r="W16" i="90"/>
  <c r="W5"/>
  <c r="U5"/>
  <c r="S5"/>
  <c r="Q5"/>
  <c r="O5"/>
  <c r="M5"/>
  <c r="K5"/>
  <c r="I5"/>
  <c r="G5"/>
  <c r="E5"/>
  <c r="D5"/>
  <c r="V5"/>
  <c r="T5"/>
  <c r="R5"/>
  <c r="P5"/>
  <c r="N5"/>
  <c r="L5"/>
  <c r="J5"/>
  <c r="H5"/>
  <c r="F5"/>
  <c r="V16" i="93"/>
  <c r="V5"/>
  <c r="T5"/>
  <c r="R5"/>
  <c r="P5"/>
  <c r="N5"/>
  <c r="L5"/>
  <c r="J5"/>
  <c r="H5"/>
  <c r="F5"/>
  <c r="W5"/>
  <c r="U5"/>
  <c r="S5"/>
  <c r="Q5"/>
  <c r="O5"/>
  <c r="M5"/>
  <c r="K5"/>
  <c r="I5"/>
  <c r="G5"/>
  <c r="E5"/>
  <c r="D5"/>
  <c r="W5" i="62"/>
  <c r="U5"/>
  <c r="S5"/>
  <c r="Q5"/>
  <c r="O5"/>
  <c r="M5"/>
  <c r="K5"/>
  <c r="I5"/>
  <c r="G5"/>
  <c r="E5"/>
  <c r="D5"/>
  <c r="V5"/>
  <c r="T5"/>
  <c r="R5"/>
  <c r="P5"/>
  <c r="N5"/>
  <c r="L5"/>
  <c r="J5"/>
  <c r="H5"/>
  <c r="F5"/>
  <c r="W6" i="96"/>
  <c r="F30" i="101"/>
  <c r="F120" s="1"/>
  <c r="L15" i="90"/>
  <c r="I16" i="94"/>
  <c r="E15" i="98"/>
  <c r="O15"/>
  <c r="F33" i="74"/>
  <c r="F33" i="105"/>
  <c r="F47" i="86"/>
  <c r="N15" i="95"/>
  <c r="H6" i="96"/>
  <c r="R15"/>
  <c r="H15" i="97"/>
  <c r="D15" i="98"/>
  <c r="F15"/>
  <c r="H15"/>
  <c r="F56" i="101"/>
  <c r="F123" s="1"/>
  <c r="F65"/>
  <c r="F124" s="1"/>
  <c r="F73"/>
  <c r="F125" s="1"/>
  <c r="F47" i="105"/>
  <c r="F122" s="1"/>
  <c r="F82"/>
  <c r="F126" s="1"/>
  <c r="F91"/>
  <c r="F127" s="1"/>
  <c r="F56" i="106"/>
  <c r="F123" s="1"/>
  <c r="F65"/>
  <c r="F124" s="1"/>
  <c r="F73"/>
  <c r="F125" s="1"/>
  <c r="F13" i="105"/>
  <c r="F13" i="102"/>
  <c r="F30" s="1"/>
  <c r="F120" s="1"/>
  <c r="F13" i="106"/>
  <c r="F30" s="1"/>
  <c r="F120" s="1"/>
  <c r="F33" i="104"/>
  <c r="F33" i="102"/>
  <c r="F33" i="106"/>
  <c r="H16" i="90"/>
  <c r="I15" i="98"/>
  <c r="F30" i="104"/>
  <c r="F120" s="1"/>
  <c r="F30" i="103"/>
  <c r="F120" s="1"/>
  <c r="F30" i="105"/>
  <c r="F120" s="1"/>
  <c r="K15" i="98"/>
  <c r="F30" i="89"/>
  <c r="F120" s="1"/>
  <c r="F56"/>
  <c r="F123" s="1"/>
  <c r="F65"/>
  <c r="F124" s="1"/>
  <c r="F73"/>
  <c r="F125" s="1"/>
  <c r="F65" i="86"/>
  <c r="F99"/>
  <c r="F47" i="101"/>
  <c r="F122" s="1"/>
  <c r="F82"/>
  <c r="F126" s="1"/>
  <c r="F91"/>
  <c r="F127" s="1"/>
  <c r="F99"/>
  <c r="F128" s="1"/>
  <c r="F99" i="102"/>
  <c r="F128" s="1"/>
  <c r="F47" i="104"/>
  <c r="F122" s="1"/>
  <c r="F82"/>
  <c r="F126" s="1"/>
  <c r="F91"/>
  <c r="F127" s="1"/>
  <c r="F99" i="105"/>
  <c r="F128" s="1"/>
  <c r="F47" i="106"/>
  <c r="F122" s="1"/>
  <c r="F91"/>
  <c r="F127" s="1"/>
  <c r="F99"/>
  <c r="F128" s="1"/>
  <c r="M6" i="95"/>
  <c r="F56" i="102"/>
  <c r="F123" s="1"/>
  <c r="F65"/>
  <c r="F124" s="1"/>
  <c r="F73"/>
  <c r="F125" s="1"/>
  <c r="F47" i="103"/>
  <c r="F122" s="1"/>
  <c r="F56"/>
  <c r="F123" s="1"/>
  <c r="F65"/>
  <c r="F124" s="1"/>
  <c r="F99"/>
  <c r="F128" s="1"/>
  <c r="F73" i="105"/>
  <c r="F125" s="1"/>
  <c r="J15" i="95"/>
  <c r="D15" i="96"/>
  <c r="W6" i="95"/>
  <c r="R15"/>
  <c r="J15" i="96"/>
  <c r="W15" i="98"/>
  <c r="R16" i="95"/>
  <c r="H6" i="92"/>
  <c r="F15"/>
  <c r="H6" i="95"/>
  <c r="R6"/>
  <c r="F15"/>
  <c r="V15"/>
  <c r="I16" i="93"/>
  <c r="M6" i="94"/>
  <c r="D15" i="90"/>
  <c r="T15"/>
  <c r="P16"/>
  <c r="Q16" i="93"/>
  <c r="W6" i="94"/>
  <c r="D16" i="97"/>
  <c r="W6" i="99"/>
  <c r="R15" i="94"/>
  <c r="E16" i="99"/>
  <c r="Q15"/>
  <c r="J16" i="95"/>
  <c r="J15" i="98"/>
  <c r="M15"/>
  <c r="Q15"/>
  <c r="U15"/>
  <c r="H16"/>
  <c r="H6" i="94"/>
  <c r="R6"/>
  <c r="J15"/>
  <c r="V16" i="95"/>
  <c r="V16" i="96"/>
  <c r="R6" i="97"/>
  <c r="P15"/>
  <c r="L16"/>
  <c r="V16" i="98"/>
  <c r="M6" i="99"/>
  <c r="I15"/>
  <c r="W16" i="94"/>
  <c r="T16" i="97"/>
  <c r="U16" i="99"/>
  <c r="E16" i="92"/>
  <c r="F15" i="94"/>
  <c r="N15"/>
  <c r="V15"/>
  <c r="Q16"/>
  <c r="D15" i="97"/>
  <c r="L15"/>
  <c r="T15"/>
  <c r="H16"/>
  <c r="P16"/>
  <c r="L15" i="98"/>
  <c r="N15"/>
  <c r="P15"/>
  <c r="R15"/>
  <c r="T15"/>
  <c r="V15"/>
  <c r="D16"/>
  <c r="L16"/>
  <c r="T16"/>
  <c r="E15" i="99"/>
  <c r="M15"/>
  <c r="U15"/>
  <c r="K16"/>
  <c r="H15" i="90"/>
  <c r="P15"/>
  <c r="D16"/>
  <c r="L16"/>
  <c r="T16"/>
  <c r="M16" i="92"/>
  <c r="D15" i="94"/>
  <c r="H15"/>
  <c r="L15"/>
  <c r="P15"/>
  <c r="T15"/>
  <c r="E16"/>
  <c r="M16"/>
  <c r="U16"/>
  <c r="F15" i="96"/>
  <c r="N15"/>
  <c r="V15"/>
  <c r="R16"/>
  <c r="G15" i="99"/>
  <c r="K15"/>
  <c r="O15"/>
  <c r="S15"/>
  <c r="W15"/>
  <c r="G16"/>
  <c r="O16"/>
  <c r="E16" i="93"/>
  <c r="M16"/>
  <c r="U16"/>
  <c r="E15" i="94"/>
  <c r="G15"/>
  <c r="I15"/>
  <c r="K15"/>
  <c r="M15"/>
  <c r="O15"/>
  <c r="Q15"/>
  <c r="S15"/>
  <c r="U15"/>
  <c r="W15"/>
  <c r="G16"/>
  <c r="K16"/>
  <c r="O16"/>
  <c r="S16"/>
  <c r="V16"/>
  <c r="D15" i="95"/>
  <c r="H15"/>
  <c r="L15"/>
  <c r="P15"/>
  <c r="T15"/>
  <c r="F16"/>
  <c r="N16"/>
  <c r="T16"/>
  <c r="H15" i="96"/>
  <c r="L15"/>
  <c r="P15"/>
  <c r="T15"/>
  <c r="F16"/>
  <c r="N16"/>
  <c r="F16" i="98"/>
  <c r="J16"/>
  <c r="N16"/>
  <c r="R16"/>
  <c r="I16" i="99"/>
  <c r="M16"/>
  <c r="S16"/>
  <c r="T16" i="96"/>
  <c r="I16" i="92"/>
  <c r="Q16"/>
  <c r="U16" i="98"/>
  <c r="Q16" i="99"/>
  <c r="W16" i="97"/>
  <c r="W16" i="99"/>
  <c r="M6" i="92"/>
  <c r="G16"/>
  <c r="K16"/>
  <c r="O16"/>
  <c r="T16"/>
  <c r="D16" i="94"/>
  <c r="F16"/>
  <c r="H16"/>
  <c r="J16"/>
  <c r="L16"/>
  <c r="N16"/>
  <c r="P16"/>
  <c r="R16"/>
  <c r="T16"/>
  <c r="D16" i="95"/>
  <c r="H16"/>
  <c r="L16"/>
  <c r="P16"/>
  <c r="W16"/>
  <c r="D16" i="96"/>
  <c r="H16"/>
  <c r="L16"/>
  <c r="P16"/>
  <c r="W16"/>
  <c r="M6" i="97"/>
  <c r="F15"/>
  <c r="J15"/>
  <c r="N15"/>
  <c r="R15"/>
  <c r="V15"/>
  <c r="F16"/>
  <c r="J16"/>
  <c r="N16"/>
  <c r="R16"/>
  <c r="V16"/>
  <c r="E16" i="98"/>
  <c r="G16"/>
  <c r="I16"/>
  <c r="K16"/>
  <c r="M16"/>
  <c r="O16"/>
  <c r="Q16"/>
  <c r="S16"/>
  <c r="W16"/>
  <c r="H6" i="99"/>
  <c r="D15"/>
  <c r="F15"/>
  <c r="H15"/>
  <c r="J15"/>
  <c r="L15"/>
  <c r="N15"/>
  <c r="P15"/>
  <c r="R15"/>
  <c r="T15"/>
  <c r="V15"/>
  <c r="D16"/>
  <c r="F16"/>
  <c r="H16"/>
  <c r="J16"/>
  <c r="L16"/>
  <c r="N16"/>
  <c r="P16"/>
  <c r="R16"/>
  <c r="T16"/>
  <c r="V16"/>
  <c r="V18" i="94"/>
  <c r="U18"/>
  <c r="Q18"/>
  <c r="M18"/>
  <c r="J18"/>
  <c r="H18"/>
  <c r="F18"/>
  <c r="D18"/>
  <c r="W18"/>
  <c r="S18"/>
  <c r="O18"/>
  <c r="K18"/>
  <c r="I18"/>
  <c r="G18"/>
  <c r="E18"/>
  <c r="F15" i="90"/>
  <c r="J15"/>
  <c r="N15"/>
  <c r="R15"/>
  <c r="V15"/>
  <c r="F16"/>
  <c r="J16"/>
  <c r="N16"/>
  <c r="R16"/>
  <c r="V16"/>
  <c r="D16" i="92"/>
  <c r="F16"/>
  <c r="H16"/>
  <c r="J16"/>
  <c r="L16"/>
  <c r="N16"/>
  <c r="P16"/>
  <c r="R16"/>
  <c r="V16"/>
  <c r="E15" i="95"/>
  <c r="G15"/>
  <c r="I15"/>
  <c r="K15"/>
  <c r="M15"/>
  <c r="O15"/>
  <c r="Q15"/>
  <c r="S15"/>
  <c r="U15"/>
  <c r="W15"/>
  <c r="E16"/>
  <c r="G16"/>
  <c r="I16"/>
  <c r="K16"/>
  <c r="M16"/>
  <c r="O16"/>
  <c r="Q16"/>
  <c r="S16"/>
  <c r="U16"/>
  <c r="E15" i="96"/>
  <c r="G15"/>
  <c r="I15"/>
  <c r="K15"/>
  <c r="M15"/>
  <c r="O15"/>
  <c r="Q15"/>
  <c r="S15"/>
  <c r="U15"/>
  <c r="W15"/>
  <c r="E16"/>
  <c r="G16"/>
  <c r="I16"/>
  <c r="K16"/>
  <c r="M16"/>
  <c r="O16"/>
  <c r="Q16"/>
  <c r="S16"/>
  <c r="U16"/>
  <c r="E15" i="97"/>
  <c r="G15"/>
  <c r="I15"/>
  <c r="K15"/>
  <c r="M15"/>
  <c r="O15"/>
  <c r="Q15"/>
  <c r="S15"/>
  <c r="U15"/>
  <c r="W15"/>
  <c r="E16"/>
  <c r="G16"/>
  <c r="I16"/>
  <c r="K16"/>
  <c r="M16"/>
  <c r="O16"/>
  <c r="Q16"/>
  <c r="S16"/>
  <c r="U16"/>
  <c r="V18" i="99"/>
  <c r="V20" s="1"/>
  <c r="T18"/>
  <c r="T20" s="1"/>
  <c r="R18"/>
  <c r="R20" s="1"/>
  <c r="P18"/>
  <c r="P20" s="1"/>
  <c r="N18"/>
  <c r="N20" s="1"/>
  <c r="L18"/>
  <c r="L20" s="1"/>
  <c r="J18"/>
  <c r="J20" s="1"/>
  <c r="H18"/>
  <c r="H20" s="1"/>
  <c r="F18"/>
  <c r="F20" s="1"/>
  <c r="D18"/>
  <c r="D20" s="1"/>
  <c r="W18"/>
  <c r="U18"/>
  <c r="S18"/>
  <c r="Q18"/>
  <c r="O18"/>
  <c r="M18"/>
  <c r="M20" s="1"/>
  <c r="K18"/>
  <c r="I18"/>
  <c r="G18"/>
  <c r="E18"/>
  <c r="V18" i="98"/>
  <c r="T18"/>
  <c r="T20" s="1"/>
  <c r="R18"/>
  <c r="P18"/>
  <c r="P20" s="1"/>
  <c r="N18"/>
  <c r="L18"/>
  <c r="J18"/>
  <c r="J20" s="1"/>
  <c r="H18"/>
  <c r="F18"/>
  <c r="D18"/>
  <c r="D20" s="1"/>
  <c r="W18"/>
  <c r="U18"/>
  <c r="S18"/>
  <c r="S20" s="1"/>
  <c r="Q18"/>
  <c r="O18"/>
  <c r="M18"/>
  <c r="K18"/>
  <c r="I18"/>
  <c r="G18"/>
  <c r="G20" s="1"/>
  <c r="E18"/>
  <c r="V18" i="97"/>
  <c r="T18"/>
  <c r="R18"/>
  <c r="P18"/>
  <c r="N18"/>
  <c r="L18"/>
  <c r="J18"/>
  <c r="H18"/>
  <c r="F18"/>
  <c r="D18"/>
  <c r="W18"/>
  <c r="U18"/>
  <c r="S18"/>
  <c r="Q18"/>
  <c r="O18"/>
  <c r="M18"/>
  <c r="K18"/>
  <c r="I18"/>
  <c r="G18"/>
  <c r="E18"/>
  <c r="V18" i="96"/>
  <c r="T18"/>
  <c r="T20" s="1"/>
  <c r="R18"/>
  <c r="P18"/>
  <c r="N18"/>
  <c r="L18"/>
  <c r="J18"/>
  <c r="H18"/>
  <c r="F18"/>
  <c r="D18"/>
  <c r="W18"/>
  <c r="U18"/>
  <c r="S18"/>
  <c r="S20" s="1"/>
  <c r="Q18"/>
  <c r="O18"/>
  <c r="O20" s="1"/>
  <c r="M18"/>
  <c r="K18"/>
  <c r="K20" s="1"/>
  <c r="I18"/>
  <c r="G18"/>
  <c r="G20" s="1"/>
  <c r="E18"/>
  <c r="V18" i="95"/>
  <c r="V20" s="1"/>
  <c r="T18"/>
  <c r="R18"/>
  <c r="R20" s="1"/>
  <c r="P18"/>
  <c r="N18"/>
  <c r="L18"/>
  <c r="J18"/>
  <c r="H18"/>
  <c r="F18"/>
  <c r="D18"/>
  <c r="W18"/>
  <c r="U18"/>
  <c r="S18"/>
  <c r="Q18"/>
  <c r="O18"/>
  <c r="M18"/>
  <c r="M20" s="1"/>
  <c r="K18"/>
  <c r="I18"/>
  <c r="I20" s="1"/>
  <c r="G18"/>
  <c r="E18"/>
  <c r="E20" s="1"/>
  <c r="L18" i="94"/>
  <c r="N18"/>
  <c r="P18"/>
  <c r="R18"/>
  <c r="T18"/>
  <c r="S20"/>
  <c r="V20"/>
  <c r="E15" i="90"/>
  <c r="G15"/>
  <c r="I15"/>
  <c r="K15"/>
  <c r="M15"/>
  <c r="O15"/>
  <c r="Q15"/>
  <c r="S15"/>
  <c r="U15"/>
  <c r="W15"/>
  <c r="E16"/>
  <c r="G16"/>
  <c r="I16"/>
  <c r="K16"/>
  <c r="M16"/>
  <c r="O16"/>
  <c r="Q16"/>
  <c r="S16"/>
  <c r="U16"/>
  <c r="M6" i="93"/>
  <c r="G16"/>
  <c r="K16"/>
  <c r="O16"/>
  <c r="S16"/>
  <c r="W16"/>
  <c r="V18" i="92"/>
  <c r="T18"/>
  <c r="R18"/>
  <c r="P18"/>
  <c r="N18"/>
  <c r="L18"/>
  <c r="J18"/>
  <c r="H18"/>
  <c r="F18"/>
  <c r="D18"/>
  <c r="W18"/>
  <c r="U18"/>
  <c r="S18"/>
  <c r="Q18"/>
  <c r="O18"/>
  <c r="M18"/>
  <c r="K18"/>
  <c r="I18"/>
  <c r="G18"/>
  <c r="E18"/>
  <c r="W18" i="90"/>
  <c r="U18"/>
  <c r="S18"/>
  <c r="Q18"/>
  <c r="O18"/>
  <c r="M18"/>
  <c r="K18"/>
  <c r="I18"/>
  <c r="G18"/>
  <c r="E18"/>
  <c r="E20" s="1"/>
  <c r="V18"/>
  <c r="T18"/>
  <c r="R18"/>
  <c r="P18"/>
  <c r="P20" s="1"/>
  <c r="N18"/>
  <c r="L18"/>
  <c r="L20" s="1"/>
  <c r="J18"/>
  <c r="H18"/>
  <c r="F18"/>
  <c r="D18"/>
  <c r="U18" i="93"/>
  <c r="S18"/>
  <c r="Q18"/>
  <c r="O18"/>
  <c r="M18"/>
  <c r="K18"/>
  <c r="I18"/>
  <c r="G18"/>
  <c r="E18"/>
  <c r="W18"/>
  <c r="V18"/>
  <c r="T18"/>
  <c r="R18"/>
  <c r="P18"/>
  <c r="N18"/>
  <c r="L18"/>
  <c r="J18"/>
  <c r="H18"/>
  <c r="F18"/>
  <c r="D18"/>
  <c r="V20" i="90"/>
  <c r="S16" i="92"/>
  <c r="U16"/>
  <c r="W16"/>
  <c r="W15"/>
  <c r="U15"/>
  <c r="S15"/>
  <c r="Q15"/>
  <c r="O15"/>
  <c r="M15"/>
  <c r="K15"/>
  <c r="I15"/>
  <c r="G15"/>
  <c r="E15"/>
  <c r="D15" i="93"/>
  <c r="D15" i="92"/>
  <c r="V15"/>
  <c r="T15"/>
  <c r="R15"/>
  <c r="R20" s="1"/>
  <c r="P15"/>
  <c r="N15"/>
  <c r="N20" s="1"/>
  <c r="L15"/>
  <c r="J15"/>
  <c r="J20" s="1"/>
  <c r="H15"/>
  <c r="D16" i="93"/>
  <c r="F16"/>
  <c r="H16"/>
  <c r="J16"/>
  <c r="L16"/>
  <c r="N16"/>
  <c r="P16"/>
  <c r="R16"/>
  <c r="T16"/>
  <c r="F30" i="86"/>
  <c r="F29" i="74"/>
  <c r="F28"/>
  <c r="F27"/>
  <c r="F26"/>
  <c r="F25"/>
  <c r="F24"/>
  <c r="F23"/>
  <c r="F22"/>
  <c r="F21"/>
  <c r="F20"/>
  <c r="F19"/>
  <c r="F18"/>
  <c r="F17"/>
  <c r="F16"/>
  <c r="F15"/>
  <c r="F14"/>
  <c r="E16" i="59"/>
  <c r="D16"/>
  <c r="K20" i="93" l="1"/>
  <c r="K20" i="94"/>
  <c r="O20" i="99"/>
  <c r="D20" i="94"/>
  <c r="I20" i="90"/>
  <c r="M20"/>
  <c r="Q20"/>
  <c r="U20"/>
  <c r="O20" i="94"/>
  <c r="G20"/>
  <c r="F20" i="92"/>
  <c r="S20" i="93"/>
  <c r="P20"/>
  <c r="L20"/>
  <c r="H20"/>
  <c r="V20" i="92"/>
  <c r="E20" i="93"/>
  <c r="I20"/>
  <c r="Q20"/>
  <c r="R20" i="94"/>
  <c r="H20" i="97"/>
  <c r="L20"/>
  <c r="H20" i="98"/>
  <c r="E20" i="99"/>
  <c r="I20"/>
  <c r="Q20"/>
  <c r="U20"/>
  <c r="F20" i="94"/>
  <c r="H20"/>
  <c r="E20" i="92"/>
  <c r="I20"/>
  <c r="M20"/>
  <c r="Q20"/>
  <c r="M20" i="93"/>
  <c r="U20"/>
  <c r="F20" i="90"/>
  <c r="J20"/>
  <c r="N20"/>
  <c r="R20"/>
  <c r="T20" i="94"/>
  <c r="P20"/>
  <c r="L20"/>
  <c r="G20" i="95"/>
  <c r="K20"/>
  <c r="O20"/>
  <c r="S20"/>
  <c r="F20"/>
  <c r="J20"/>
  <c r="N20"/>
  <c r="F20" i="96"/>
  <c r="J20"/>
  <c r="N20"/>
  <c r="R20"/>
  <c r="V20"/>
  <c r="F20" i="97"/>
  <c r="J20"/>
  <c r="N20"/>
  <c r="R20"/>
  <c r="V20"/>
  <c r="K20" i="98"/>
  <c r="O20"/>
  <c r="F20"/>
  <c r="N20"/>
  <c r="R20"/>
  <c r="V20"/>
  <c r="O20" i="93"/>
  <c r="G20"/>
  <c r="T20" i="92"/>
  <c r="G20" i="90"/>
  <c r="K20"/>
  <c r="O20"/>
  <c r="S20"/>
  <c r="Q20" i="95"/>
  <c r="U20"/>
  <c r="U20" i="94"/>
  <c r="Q20"/>
  <c r="M20"/>
  <c r="I20"/>
  <c r="E20"/>
  <c r="G20" i="99"/>
  <c r="T20" i="90"/>
  <c r="D20"/>
  <c r="H20"/>
  <c r="J20" i="94"/>
  <c r="H20" i="92"/>
  <c r="L20"/>
  <c r="P20"/>
  <c r="D20"/>
  <c r="G20"/>
  <c r="K20"/>
  <c r="O20"/>
  <c r="N20" i="94"/>
  <c r="D20" i="95"/>
  <c r="H20"/>
  <c r="L20"/>
  <c r="P20"/>
  <c r="T20"/>
  <c r="E20" i="96"/>
  <c r="I20"/>
  <c r="M20"/>
  <c r="Q20"/>
  <c r="U20"/>
  <c r="D20"/>
  <c r="H20"/>
  <c r="L20"/>
  <c r="P20"/>
  <c r="E20" i="97"/>
  <c r="I20"/>
  <c r="M20"/>
  <c r="Q20"/>
  <c r="U20"/>
  <c r="D20"/>
  <c r="P20"/>
  <c r="T20"/>
  <c r="E20" i="98"/>
  <c r="I20"/>
  <c r="M20"/>
  <c r="Q20"/>
  <c r="U20"/>
  <c r="L20"/>
  <c r="K20" i="99"/>
  <c r="S20"/>
  <c r="G20" i="97"/>
  <c r="K20"/>
  <c r="O20"/>
  <c r="S20"/>
  <c r="R20" i="93"/>
  <c r="D20"/>
  <c r="U20" i="92"/>
  <c r="S20"/>
  <c r="N20" i="93"/>
  <c r="J20"/>
  <c r="F20"/>
  <c r="V20"/>
  <c r="T20"/>
  <c r="B132" i="86" l="1"/>
  <c r="A132"/>
  <c r="B129"/>
  <c r="A129"/>
  <c r="B128"/>
  <c r="A128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F115"/>
  <c r="F114"/>
  <c r="F113"/>
  <c r="F112"/>
  <c r="F111"/>
  <c r="F125"/>
  <c r="F124"/>
  <c r="F123"/>
  <c r="F120"/>
  <c r="F6"/>
  <c r="F5"/>
  <c r="F4"/>
  <c r="F3"/>
  <c r="B132" i="85"/>
  <c r="A132"/>
  <c r="B129"/>
  <c r="A129"/>
  <c r="B128"/>
  <c r="A128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F115"/>
  <c r="F114"/>
  <c r="F113"/>
  <c r="F112"/>
  <c r="F111"/>
  <c r="F106"/>
  <c r="F104"/>
  <c r="F102"/>
  <c r="F98"/>
  <c r="F97"/>
  <c r="F96"/>
  <c r="F95"/>
  <c r="F94"/>
  <c r="F90"/>
  <c r="F89"/>
  <c r="F88"/>
  <c r="F87"/>
  <c r="F86"/>
  <c r="F85"/>
  <c r="F81"/>
  <c r="F80"/>
  <c r="F79"/>
  <c r="F78"/>
  <c r="F77"/>
  <c r="F76"/>
  <c r="F72"/>
  <c r="F71"/>
  <c r="F70"/>
  <c r="F69"/>
  <c r="F68"/>
  <c r="F64"/>
  <c r="F63"/>
  <c r="F62"/>
  <c r="F61"/>
  <c r="F60"/>
  <c r="F59"/>
  <c r="F55"/>
  <c r="F54"/>
  <c r="F53"/>
  <c r="F52"/>
  <c r="F51"/>
  <c r="F50"/>
  <c r="F46"/>
  <c r="F45"/>
  <c r="F44"/>
  <c r="F43"/>
  <c r="F42"/>
  <c r="F38"/>
  <c r="F37"/>
  <c r="F36"/>
  <c r="F33"/>
  <c r="F29"/>
  <c r="F28"/>
  <c r="F27"/>
  <c r="F26"/>
  <c r="F25"/>
  <c r="F24"/>
  <c r="F23"/>
  <c r="F22"/>
  <c r="F21"/>
  <c r="F20"/>
  <c r="F19"/>
  <c r="F18"/>
  <c r="F17"/>
  <c r="F16"/>
  <c r="F15"/>
  <c r="F14"/>
  <c r="F13"/>
  <c r="F6"/>
  <c r="F5"/>
  <c r="F4"/>
  <c r="F3"/>
  <c r="B132" i="84"/>
  <c r="A132"/>
  <c r="B129"/>
  <c r="A129"/>
  <c r="B128"/>
  <c r="A128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F115"/>
  <c r="F114"/>
  <c r="F113"/>
  <c r="F112"/>
  <c r="F111"/>
  <c r="F106"/>
  <c r="F104"/>
  <c r="F102"/>
  <c r="F98"/>
  <c r="F97"/>
  <c r="F96"/>
  <c r="F95"/>
  <c r="F94"/>
  <c r="F99" s="1"/>
  <c r="F128" s="1"/>
  <c r="F90"/>
  <c r="F89"/>
  <c r="F88"/>
  <c r="F87"/>
  <c r="F86"/>
  <c r="F85"/>
  <c r="F91" s="1"/>
  <c r="F127" s="1"/>
  <c r="F81"/>
  <c r="F80"/>
  <c r="F79"/>
  <c r="F78"/>
  <c r="F77"/>
  <c r="F76"/>
  <c r="F82" s="1"/>
  <c r="F126" s="1"/>
  <c r="F72"/>
  <c r="F71"/>
  <c r="F70"/>
  <c r="F69"/>
  <c r="F68"/>
  <c r="F64"/>
  <c r="F63"/>
  <c r="F62"/>
  <c r="F61"/>
  <c r="F60"/>
  <c r="F59"/>
  <c r="F55"/>
  <c r="F54"/>
  <c r="F53"/>
  <c r="F52"/>
  <c r="F51"/>
  <c r="F50"/>
  <c r="F46"/>
  <c r="F45"/>
  <c r="F44"/>
  <c r="F43"/>
  <c r="F42"/>
  <c r="F47" s="1"/>
  <c r="F122" s="1"/>
  <c r="F38"/>
  <c r="F37"/>
  <c r="F36"/>
  <c r="F33"/>
  <c r="F29"/>
  <c r="F28"/>
  <c r="F27"/>
  <c r="F26"/>
  <c r="F25"/>
  <c r="F24"/>
  <c r="F23"/>
  <c r="F22"/>
  <c r="F21"/>
  <c r="F20"/>
  <c r="F19"/>
  <c r="F18"/>
  <c r="F17"/>
  <c r="F16"/>
  <c r="F15"/>
  <c r="F14"/>
  <c r="F13"/>
  <c r="F6"/>
  <c r="F5"/>
  <c r="F4"/>
  <c r="F3"/>
  <c r="B132" i="83"/>
  <c r="A132"/>
  <c r="B129"/>
  <c r="A129"/>
  <c r="B128"/>
  <c r="A128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F115"/>
  <c r="F114"/>
  <c r="F113"/>
  <c r="F112"/>
  <c r="F111"/>
  <c r="F106"/>
  <c r="F105"/>
  <c r="F104"/>
  <c r="F102"/>
  <c r="F98"/>
  <c r="F97"/>
  <c r="F96"/>
  <c r="F95"/>
  <c r="F94"/>
  <c r="F90"/>
  <c r="F89"/>
  <c r="F88"/>
  <c r="F87"/>
  <c r="F86"/>
  <c r="F85"/>
  <c r="F81"/>
  <c r="F80"/>
  <c r="F79"/>
  <c r="F78"/>
  <c r="F77"/>
  <c r="F76"/>
  <c r="F72"/>
  <c r="F71"/>
  <c r="F70"/>
  <c r="F69"/>
  <c r="F68"/>
  <c r="F64"/>
  <c r="F63"/>
  <c r="F62"/>
  <c r="F61"/>
  <c r="F60"/>
  <c r="F59"/>
  <c r="F55"/>
  <c r="F54"/>
  <c r="F53"/>
  <c r="F52"/>
  <c r="F51"/>
  <c r="F50"/>
  <c r="F46"/>
  <c r="F45"/>
  <c r="F44"/>
  <c r="F43"/>
  <c r="F42"/>
  <c r="F47" s="1"/>
  <c r="F122" s="1"/>
  <c r="F38"/>
  <c r="F37"/>
  <c r="F36"/>
  <c r="F35"/>
  <c r="F33"/>
  <c r="F29"/>
  <c r="F28"/>
  <c r="F27"/>
  <c r="F26"/>
  <c r="F25"/>
  <c r="F24"/>
  <c r="F23"/>
  <c r="F22"/>
  <c r="F21"/>
  <c r="F20"/>
  <c r="F19"/>
  <c r="F18"/>
  <c r="F17"/>
  <c r="F16"/>
  <c r="F15"/>
  <c r="F14"/>
  <c r="F13"/>
  <c r="F6"/>
  <c r="F5"/>
  <c r="F4"/>
  <c r="F3"/>
  <c r="B132" i="81"/>
  <c r="A132"/>
  <c r="B129"/>
  <c r="A129"/>
  <c r="B128"/>
  <c r="A128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F115"/>
  <c r="F114"/>
  <c r="F113"/>
  <c r="F112"/>
  <c r="F111"/>
  <c r="F106"/>
  <c r="F104"/>
  <c r="F102"/>
  <c r="F98"/>
  <c r="F97"/>
  <c r="F96"/>
  <c r="F95"/>
  <c r="F94"/>
  <c r="F99" s="1"/>
  <c r="F128" s="1"/>
  <c r="F90"/>
  <c r="F89"/>
  <c r="F88"/>
  <c r="F87"/>
  <c r="F86"/>
  <c r="F85"/>
  <c r="F81"/>
  <c r="F80"/>
  <c r="F79"/>
  <c r="F78"/>
  <c r="F77"/>
  <c r="F76"/>
  <c r="F82" s="1"/>
  <c r="F126" s="1"/>
  <c r="F72"/>
  <c r="F71"/>
  <c r="F70"/>
  <c r="F69"/>
  <c r="F68"/>
  <c r="F64"/>
  <c r="F63"/>
  <c r="F62"/>
  <c r="F61"/>
  <c r="F60"/>
  <c r="F59"/>
  <c r="F55"/>
  <c r="F54"/>
  <c r="F53"/>
  <c r="F52"/>
  <c r="F51"/>
  <c r="F50"/>
  <c r="F46"/>
  <c r="F45"/>
  <c r="F44"/>
  <c r="F43"/>
  <c r="F42"/>
  <c r="F47" s="1"/>
  <c r="F122" s="1"/>
  <c r="F38"/>
  <c r="F37"/>
  <c r="F36"/>
  <c r="F33"/>
  <c r="F29"/>
  <c r="F28"/>
  <c r="F27"/>
  <c r="F26"/>
  <c r="F25"/>
  <c r="F24"/>
  <c r="F23"/>
  <c r="F22"/>
  <c r="F21"/>
  <c r="F20"/>
  <c r="F19"/>
  <c r="F18"/>
  <c r="F17"/>
  <c r="F16"/>
  <c r="F15"/>
  <c r="F14"/>
  <c r="F13"/>
  <c r="F6"/>
  <c r="F5"/>
  <c r="F4"/>
  <c r="F3"/>
  <c r="B132" i="80"/>
  <c r="A132"/>
  <c r="B129"/>
  <c r="A129"/>
  <c r="B128"/>
  <c r="A128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F115"/>
  <c r="F114"/>
  <c r="F113"/>
  <c r="F112"/>
  <c r="F111"/>
  <c r="F106"/>
  <c r="F104"/>
  <c r="F102"/>
  <c r="F98"/>
  <c r="F97"/>
  <c r="F96"/>
  <c r="F95"/>
  <c r="F94"/>
  <c r="F90"/>
  <c r="F89"/>
  <c r="F88"/>
  <c r="F87"/>
  <c r="F86"/>
  <c r="F85"/>
  <c r="F81"/>
  <c r="F80"/>
  <c r="F79"/>
  <c r="F78"/>
  <c r="F77"/>
  <c r="F76"/>
  <c r="F72"/>
  <c r="F71"/>
  <c r="F70"/>
  <c r="F69"/>
  <c r="F73" s="1"/>
  <c r="F125" s="1"/>
  <c r="F68"/>
  <c r="F64"/>
  <c r="F63"/>
  <c r="F62"/>
  <c r="F61"/>
  <c r="F60"/>
  <c r="F59"/>
  <c r="F55"/>
  <c r="F54"/>
  <c r="F53"/>
  <c r="F52"/>
  <c r="F51"/>
  <c r="F50"/>
  <c r="F46"/>
  <c r="F45"/>
  <c r="F44"/>
  <c r="F43"/>
  <c r="F42"/>
  <c r="F38"/>
  <c r="F37"/>
  <c r="F36"/>
  <c r="F33"/>
  <c r="F29"/>
  <c r="F28"/>
  <c r="F27"/>
  <c r="F26"/>
  <c r="F25"/>
  <c r="F24"/>
  <c r="F23"/>
  <c r="F22"/>
  <c r="F21"/>
  <c r="F20"/>
  <c r="F19"/>
  <c r="F18"/>
  <c r="F17"/>
  <c r="F16"/>
  <c r="F15"/>
  <c r="F14"/>
  <c r="F13"/>
  <c r="F6"/>
  <c r="F5"/>
  <c r="F4"/>
  <c r="F3"/>
  <c r="F91" i="81" l="1"/>
  <c r="F127" s="1"/>
  <c r="F91" i="80"/>
  <c r="F127" s="1"/>
  <c r="F82"/>
  <c r="F126" s="1"/>
  <c r="F82" i="83"/>
  <c r="F126" s="1"/>
  <c r="F91"/>
  <c r="F127" s="1"/>
  <c r="F99"/>
  <c r="F128" s="1"/>
  <c r="F30" i="85"/>
  <c r="F120" s="1"/>
  <c r="F30" i="83"/>
  <c r="F120" s="1"/>
  <c r="F56"/>
  <c r="F123" s="1"/>
  <c r="F30" i="84"/>
  <c r="F120" s="1"/>
  <c r="F65" i="83"/>
  <c r="F124" s="1"/>
  <c r="F73"/>
  <c r="F125" s="1"/>
  <c r="F56" i="84"/>
  <c r="F123" s="1"/>
  <c r="F65"/>
  <c r="F124" s="1"/>
  <c r="F73"/>
  <c r="F125" s="1"/>
  <c r="F56" i="85"/>
  <c r="F123" s="1"/>
  <c r="F65"/>
  <c r="F124" s="1"/>
  <c r="F73"/>
  <c r="F125" s="1"/>
  <c r="F47"/>
  <c r="F122" s="1"/>
  <c r="F82"/>
  <c r="F126" s="1"/>
  <c r="F91"/>
  <c r="F127" s="1"/>
  <c r="F99"/>
  <c r="F128" s="1"/>
  <c r="F122" i="86"/>
  <c r="F126"/>
  <c r="F127"/>
  <c r="F128"/>
  <c r="F30" i="80"/>
  <c r="F120" s="1"/>
  <c r="F47"/>
  <c r="F122" s="1"/>
  <c r="F56"/>
  <c r="F123" s="1"/>
  <c r="F65"/>
  <c r="F124" s="1"/>
  <c r="F99"/>
  <c r="F128" s="1"/>
  <c r="F30" i="81"/>
  <c r="F120" s="1"/>
  <c r="F56"/>
  <c r="F123" s="1"/>
  <c r="F65"/>
  <c r="F124" s="1"/>
  <c r="F73"/>
  <c r="F125" s="1"/>
  <c r="E34" i="83"/>
  <c r="F34" s="1"/>
  <c r="F39" s="1"/>
  <c r="F121" s="1"/>
  <c r="N27" i="76"/>
  <c r="K27"/>
  <c r="N27" i="75"/>
  <c r="K27"/>
  <c r="N27" i="5"/>
  <c r="K27"/>
  <c r="N27" i="58"/>
  <c r="K27"/>
  <c r="N27" i="57"/>
  <c r="K27"/>
  <c r="F111" i="79"/>
  <c r="F11"/>
  <c r="B132"/>
  <c r="A132"/>
  <c r="B129"/>
  <c r="A129"/>
  <c r="B128"/>
  <c r="A128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F115"/>
  <c r="F114"/>
  <c r="F113"/>
  <c r="F112"/>
  <c r="F106"/>
  <c r="F105"/>
  <c r="F104"/>
  <c r="F103"/>
  <c r="F102"/>
  <c r="F98"/>
  <c r="F97"/>
  <c r="F96"/>
  <c r="F95"/>
  <c r="F94"/>
  <c r="F90"/>
  <c r="F89"/>
  <c r="F88"/>
  <c r="F87"/>
  <c r="F86"/>
  <c r="F85"/>
  <c r="F81"/>
  <c r="F80"/>
  <c r="F79"/>
  <c r="F78"/>
  <c r="F77"/>
  <c r="F76"/>
  <c r="F72"/>
  <c r="F71"/>
  <c r="F70"/>
  <c r="F69"/>
  <c r="F68"/>
  <c r="F64"/>
  <c r="F63"/>
  <c r="F62"/>
  <c r="F61"/>
  <c r="F60"/>
  <c r="F59"/>
  <c r="F55"/>
  <c r="F54"/>
  <c r="F53"/>
  <c r="F52"/>
  <c r="F51"/>
  <c r="F50"/>
  <c r="F46"/>
  <c r="F45"/>
  <c r="F44"/>
  <c r="F43"/>
  <c r="F42"/>
  <c r="F38"/>
  <c r="F37"/>
  <c r="F36"/>
  <c r="F35"/>
  <c r="J33"/>
  <c r="F33"/>
  <c r="F29"/>
  <c r="F28"/>
  <c r="F26"/>
  <c r="F25"/>
  <c r="F24"/>
  <c r="F23"/>
  <c r="F22"/>
  <c r="F21"/>
  <c r="F20"/>
  <c r="F19"/>
  <c r="F18"/>
  <c r="F16"/>
  <c r="F15"/>
  <c r="F14"/>
  <c r="F13"/>
  <c r="F7"/>
  <c r="F6"/>
  <c r="F5"/>
  <c r="F4"/>
  <c r="F3"/>
  <c r="E22" i="78"/>
  <c r="E19"/>
  <c r="D9" i="114" s="1"/>
  <c r="E16" i="78"/>
  <c r="D5" i="114" s="1"/>
  <c r="E14" i="78"/>
  <c r="C22"/>
  <c r="C19"/>
  <c r="C16"/>
  <c r="C14"/>
  <c r="C5" i="114" l="1"/>
  <c r="C7" i="110"/>
  <c r="C14"/>
  <c r="C15" i="113"/>
  <c r="C14" i="112"/>
  <c r="C5" i="110"/>
  <c r="C5" i="113"/>
  <c r="C5" i="112"/>
  <c r="C9" i="114"/>
  <c r="C11" i="110"/>
  <c r="W15" i="76"/>
  <c r="U15"/>
  <c r="S15"/>
  <c r="Q15"/>
  <c r="O15"/>
  <c r="M15"/>
  <c r="K15"/>
  <c r="I15"/>
  <c r="G15"/>
  <c r="E15"/>
  <c r="V15"/>
  <c r="T15"/>
  <c r="R15"/>
  <c r="P15"/>
  <c r="N15"/>
  <c r="L15"/>
  <c r="J15"/>
  <c r="H15"/>
  <c r="F15"/>
  <c r="D15"/>
  <c r="V5" i="57"/>
  <c r="T5"/>
  <c r="R5"/>
  <c r="P5"/>
  <c r="N5"/>
  <c r="L5"/>
  <c r="J5"/>
  <c r="H5"/>
  <c r="F5"/>
  <c r="W5"/>
  <c r="U5"/>
  <c r="S5"/>
  <c r="Q5"/>
  <c r="O5"/>
  <c r="M5"/>
  <c r="K5"/>
  <c r="I5"/>
  <c r="G5"/>
  <c r="E5"/>
  <c r="D5"/>
  <c r="W5" i="58"/>
  <c r="U5"/>
  <c r="S5"/>
  <c r="Q5"/>
  <c r="O5"/>
  <c r="M5"/>
  <c r="K5"/>
  <c r="I5"/>
  <c r="G5"/>
  <c r="E5"/>
  <c r="V5"/>
  <c r="T5"/>
  <c r="R5"/>
  <c r="P5"/>
  <c r="N5"/>
  <c r="L5"/>
  <c r="J5"/>
  <c r="H5"/>
  <c r="F5"/>
  <c r="D5"/>
  <c r="V5" i="5"/>
  <c r="T5"/>
  <c r="R5"/>
  <c r="P5"/>
  <c r="N5"/>
  <c r="L5"/>
  <c r="J5"/>
  <c r="H5"/>
  <c r="F5"/>
  <c r="W5"/>
  <c r="U5"/>
  <c r="S5"/>
  <c r="Q5"/>
  <c r="O5"/>
  <c r="M5"/>
  <c r="K5"/>
  <c r="I5"/>
  <c r="G5"/>
  <c r="E5"/>
  <c r="D5"/>
  <c r="V5" i="75"/>
  <c r="T5"/>
  <c r="R5"/>
  <c r="P5"/>
  <c r="N5"/>
  <c r="L5"/>
  <c r="J5"/>
  <c r="H5"/>
  <c r="F5"/>
  <c r="W5"/>
  <c r="U5"/>
  <c r="S5"/>
  <c r="Q5"/>
  <c r="O5"/>
  <c r="M5"/>
  <c r="K5"/>
  <c r="I5"/>
  <c r="G5"/>
  <c r="E5"/>
  <c r="D5"/>
  <c r="W5" i="76"/>
  <c r="U5"/>
  <c r="S5"/>
  <c r="Q5"/>
  <c r="O5"/>
  <c r="M5"/>
  <c r="K5"/>
  <c r="I5"/>
  <c r="G5"/>
  <c r="E5"/>
  <c r="D5"/>
  <c r="V5"/>
  <c r="T5"/>
  <c r="R5"/>
  <c r="P5"/>
  <c r="N5"/>
  <c r="L5"/>
  <c r="J5"/>
  <c r="H5"/>
  <c r="F5"/>
  <c r="F8" i="79"/>
  <c r="F119" s="1"/>
  <c r="F73"/>
  <c r="F125" s="1"/>
  <c r="F82"/>
  <c r="F126" s="1"/>
  <c r="F91"/>
  <c r="F127" s="1"/>
  <c r="F107"/>
  <c r="F129" s="1"/>
  <c r="F15" i="75"/>
  <c r="H15"/>
  <c r="J15"/>
  <c r="L15"/>
  <c r="N15"/>
  <c r="P15"/>
  <c r="R15"/>
  <c r="T15"/>
  <c r="V15"/>
  <c r="D15"/>
  <c r="E15"/>
  <c r="G15"/>
  <c r="I15"/>
  <c r="K15"/>
  <c r="M15"/>
  <c r="O15"/>
  <c r="Q15"/>
  <c r="S15"/>
  <c r="U15"/>
  <c r="W15"/>
  <c r="F30" i="79"/>
  <c r="F120" s="1"/>
  <c r="F47"/>
  <c r="F122" s="1"/>
  <c r="F56"/>
  <c r="F123" s="1"/>
  <c r="F65"/>
  <c r="F124" s="1"/>
  <c r="F99"/>
  <c r="F128" s="1"/>
  <c r="E34"/>
  <c r="F34" s="1"/>
  <c r="F39" s="1"/>
  <c r="F121" s="1"/>
  <c r="F130" l="1"/>
  <c r="E110" s="1"/>
  <c r="F110" s="1"/>
  <c r="F116" s="1"/>
  <c r="F132" s="1"/>
  <c r="F133" s="1"/>
  <c r="D135" l="1"/>
  <c r="F135" s="1"/>
  <c r="F137" s="1"/>
  <c r="O10" i="77" l="1"/>
  <c r="E35" i="84" s="1"/>
  <c r="F35" s="1"/>
  <c r="E34" s="1"/>
  <c r="F34" s="1"/>
  <c r="F39" s="1"/>
  <c r="F121" s="1"/>
  <c r="K10" i="77"/>
  <c r="G10"/>
  <c r="E35" i="40" s="1"/>
  <c r="O9" i="77"/>
  <c r="K9"/>
  <c r="G9"/>
  <c r="O8"/>
  <c r="K8"/>
  <c r="G8"/>
  <c r="O7"/>
  <c r="K7"/>
  <c r="G7"/>
  <c r="O6"/>
  <c r="E103" i="84" s="1"/>
  <c r="F103" s="1"/>
  <c r="K6" i="77"/>
  <c r="G6"/>
  <c r="E103" i="40" s="1"/>
  <c r="E105" i="106" l="1"/>
  <c r="F105" s="1"/>
  <c r="E105" i="105"/>
  <c r="F105" s="1"/>
  <c r="E105" i="104"/>
  <c r="F105" s="1"/>
  <c r="E105" i="102"/>
  <c r="F105" s="1"/>
  <c r="E105" i="101"/>
  <c r="F105" s="1"/>
  <c r="E105" i="86"/>
  <c r="F105" s="1"/>
  <c r="E105" i="89"/>
  <c r="F105" s="1"/>
  <c r="E105" i="103"/>
  <c r="F105" s="1"/>
  <c r="E105" i="85"/>
  <c r="F105" s="1"/>
  <c r="E105" i="80"/>
  <c r="F105" s="1"/>
  <c r="E105" i="81"/>
  <c r="F105" s="1"/>
  <c r="E105" i="74"/>
  <c r="E103" i="104"/>
  <c r="F103" s="1"/>
  <c r="F107" s="1"/>
  <c r="F129" s="1"/>
  <c r="E103" i="103"/>
  <c r="F103" s="1"/>
  <c r="F107" s="1"/>
  <c r="F129" s="1"/>
  <c r="E103" i="86"/>
  <c r="F103" s="1"/>
  <c r="E103" i="89"/>
  <c r="F103" s="1"/>
  <c r="F107" s="1"/>
  <c r="F129" s="1"/>
  <c r="E103" i="106"/>
  <c r="F103" s="1"/>
  <c r="F107" s="1"/>
  <c r="F129" s="1"/>
  <c r="E103" i="105"/>
  <c r="F103" s="1"/>
  <c r="F107" s="1"/>
  <c r="F129" s="1"/>
  <c r="E103" i="102"/>
  <c r="F103" s="1"/>
  <c r="E103" i="101"/>
  <c r="F103" s="1"/>
  <c r="F107" s="1"/>
  <c r="F129" s="1"/>
  <c r="E103" i="83"/>
  <c r="F103" s="1"/>
  <c r="F107" s="1"/>
  <c r="F129" s="1"/>
  <c r="E103" i="81"/>
  <c r="F103" s="1"/>
  <c r="F107" s="1"/>
  <c r="F129" s="1"/>
  <c r="E103" i="74"/>
  <c r="E103" i="85"/>
  <c r="F103" s="1"/>
  <c r="F107" s="1"/>
  <c r="F129" s="1"/>
  <c r="E103" i="80"/>
  <c r="F103" s="1"/>
  <c r="E105" i="40"/>
  <c r="E105" i="84"/>
  <c r="F105" s="1"/>
  <c r="F107" s="1"/>
  <c r="F129" s="1"/>
  <c r="E35" i="103"/>
  <c r="F35" s="1"/>
  <c r="E34" s="1"/>
  <c r="F34" s="1"/>
  <c r="F39" s="1"/>
  <c r="F121" s="1"/>
  <c r="E35" i="102"/>
  <c r="F35" s="1"/>
  <c r="E34" s="1"/>
  <c r="F34" s="1"/>
  <c r="F39" s="1"/>
  <c r="F121" s="1"/>
  <c r="E35" i="86"/>
  <c r="F35" s="1"/>
  <c r="E34" s="1"/>
  <c r="F34" s="1"/>
  <c r="F39" s="1"/>
  <c r="F121" s="1"/>
  <c r="E35" i="89"/>
  <c r="F35" s="1"/>
  <c r="E34" s="1"/>
  <c r="F34" s="1"/>
  <c r="F39" s="1"/>
  <c r="F121" s="1"/>
  <c r="E35" i="106"/>
  <c r="F35" s="1"/>
  <c r="E34" s="1"/>
  <c r="F34" s="1"/>
  <c r="F39" s="1"/>
  <c r="F121" s="1"/>
  <c r="E35" i="105"/>
  <c r="F35" s="1"/>
  <c r="E34" s="1"/>
  <c r="F34" s="1"/>
  <c r="F39" s="1"/>
  <c r="F121" s="1"/>
  <c r="E35" i="104"/>
  <c r="F35" s="1"/>
  <c r="E34" s="1"/>
  <c r="F34" s="1"/>
  <c r="F39" s="1"/>
  <c r="F121" s="1"/>
  <c r="E35" i="101"/>
  <c r="F35" s="1"/>
  <c r="E34" s="1"/>
  <c r="F34" s="1"/>
  <c r="F39" s="1"/>
  <c r="F121" s="1"/>
  <c r="E35" i="85"/>
  <c r="F35" s="1"/>
  <c r="E34" s="1"/>
  <c r="F34" s="1"/>
  <c r="F39" s="1"/>
  <c r="F121" s="1"/>
  <c r="E35" i="80"/>
  <c r="F35" s="1"/>
  <c r="E34" s="1"/>
  <c r="F34" s="1"/>
  <c r="F39" s="1"/>
  <c r="F121" s="1"/>
  <c r="E35" i="81"/>
  <c r="F35" s="1"/>
  <c r="E34" s="1"/>
  <c r="F34" s="1"/>
  <c r="F39" s="1"/>
  <c r="F121" s="1"/>
  <c r="E35" i="74"/>
  <c r="G11" i="77"/>
  <c r="O11"/>
  <c r="K11"/>
  <c r="C4" i="59"/>
  <c r="E4" s="1"/>
  <c r="E5"/>
  <c r="D5"/>
  <c r="E12"/>
  <c r="D12"/>
  <c r="P16" i="76"/>
  <c r="H16"/>
  <c r="M6"/>
  <c r="L18" i="75"/>
  <c r="W6"/>
  <c r="V16"/>
  <c r="R16"/>
  <c r="N16"/>
  <c r="J16"/>
  <c r="F16"/>
  <c r="R6"/>
  <c r="B132" i="74"/>
  <c r="A132"/>
  <c r="B129"/>
  <c r="A129"/>
  <c r="B128"/>
  <c r="A128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F115"/>
  <c r="F114"/>
  <c r="F113"/>
  <c r="F112"/>
  <c r="F111"/>
  <c r="F106"/>
  <c r="F105"/>
  <c r="F104"/>
  <c r="F103"/>
  <c r="F102"/>
  <c r="F98"/>
  <c r="F97"/>
  <c r="F96"/>
  <c r="F95"/>
  <c r="F94"/>
  <c r="F90"/>
  <c r="F89"/>
  <c r="F88"/>
  <c r="F87"/>
  <c r="F86"/>
  <c r="F85"/>
  <c r="F81"/>
  <c r="F80"/>
  <c r="F79"/>
  <c r="F78"/>
  <c r="F77"/>
  <c r="F76"/>
  <c r="F72"/>
  <c r="F71"/>
  <c r="F70"/>
  <c r="F69"/>
  <c r="F68"/>
  <c r="F64"/>
  <c r="F63"/>
  <c r="F62"/>
  <c r="F61"/>
  <c r="F60"/>
  <c r="F59"/>
  <c r="F55"/>
  <c r="F54"/>
  <c r="F53"/>
  <c r="F52"/>
  <c r="F51"/>
  <c r="F50"/>
  <c r="F46"/>
  <c r="F45"/>
  <c r="F44"/>
  <c r="F43"/>
  <c r="F42"/>
  <c r="F38"/>
  <c r="F37"/>
  <c r="F36"/>
  <c r="F35"/>
  <c r="F13"/>
  <c r="F30" s="1"/>
  <c r="F6"/>
  <c r="F5"/>
  <c r="F4"/>
  <c r="F3"/>
  <c r="H6" i="5"/>
  <c r="H6" i="57"/>
  <c r="M6" i="58"/>
  <c r="D16" i="62"/>
  <c r="D18" i="57"/>
  <c r="G18" i="58"/>
  <c r="Q18" i="62"/>
  <c r="H16"/>
  <c r="H6" i="58"/>
  <c r="I16" i="62"/>
  <c r="M16"/>
  <c r="M6" i="57"/>
  <c r="M6" i="62"/>
  <c r="P16"/>
  <c r="R16"/>
  <c r="R6" i="57"/>
  <c r="S16" i="62"/>
  <c r="S18" i="5"/>
  <c r="T18" i="57"/>
  <c r="U16" i="62"/>
  <c r="U18" i="58"/>
  <c r="V18" i="57"/>
  <c r="W16" i="62"/>
  <c r="W18" i="58"/>
  <c r="W6" i="5"/>
  <c r="W6" i="58"/>
  <c r="W6" i="62"/>
  <c r="F8" i="66"/>
  <c r="D11"/>
  <c r="D12"/>
  <c r="D13"/>
  <c r="D15"/>
  <c r="F35" i="40"/>
  <c r="F36"/>
  <c r="F19"/>
  <c r="F14"/>
  <c r="F26"/>
  <c r="F28"/>
  <c r="F20"/>
  <c r="F37"/>
  <c r="F38"/>
  <c r="F33"/>
  <c r="F97"/>
  <c r="F103"/>
  <c r="F104"/>
  <c r="F106"/>
  <c r="F111"/>
  <c r="B132"/>
  <c r="A132"/>
  <c r="B129"/>
  <c r="A129"/>
  <c r="B128"/>
  <c r="A128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F115"/>
  <c r="F114"/>
  <c r="F113"/>
  <c r="F112"/>
  <c r="F105"/>
  <c r="F102"/>
  <c r="F98"/>
  <c r="F96"/>
  <c r="F95"/>
  <c r="F99" s="1"/>
  <c r="F128" s="1"/>
  <c r="F94"/>
  <c r="F90"/>
  <c r="F89"/>
  <c r="F88"/>
  <c r="F87"/>
  <c r="F86"/>
  <c r="F85"/>
  <c r="F81"/>
  <c r="F80"/>
  <c r="F79"/>
  <c r="F78"/>
  <c r="F77"/>
  <c r="F76"/>
  <c r="F82"/>
  <c r="F126" s="1"/>
  <c r="F72"/>
  <c r="F71"/>
  <c r="F70"/>
  <c r="F69"/>
  <c r="F68"/>
  <c r="F73"/>
  <c r="F125" s="1"/>
  <c r="F64"/>
  <c r="F63"/>
  <c r="F62"/>
  <c r="F61"/>
  <c r="F60"/>
  <c r="F59"/>
  <c r="F65" s="1"/>
  <c r="F124" s="1"/>
  <c r="F55"/>
  <c r="F54"/>
  <c r="F53"/>
  <c r="F52"/>
  <c r="F51"/>
  <c r="F50"/>
  <c r="F56" s="1"/>
  <c r="F123" s="1"/>
  <c r="F46"/>
  <c r="F45"/>
  <c r="F44"/>
  <c r="F43"/>
  <c r="F42"/>
  <c r="F29"/>
  <c r="F27"/>
  <c r="F25"/>
  <c r="F24"/>
  <c r="F23"/>
  <c r="F22"/>
  <c r="F21"/>
  <c r="F18"/>
  <c r="F17"/>
  <c r="F16"/>
  <c r="F15"/>
  <c r="F13"/>
  <c r="F6"/>
  <c r="F5"/>
  <c r="F4"/>
  <c r="F3"/>
  <c r="E7" i="84"/>
  <c r="F7" s="1"/>
  <c r="F8" s="1"/>
  <c r="F119" s="1"/>
  <c r="F130" s="1"/>
  <c r="E110" s="1"/>
  <c r="F110" s="1"/>
  <c r="F116" s="1"/>
  <c r="F132" s="1"/>
  <c r="F133" s="1"/>
  <c r="D135" s="1"/>
  <c r="F135" s="1"/>
  <c r="F137" s="1"/>
  <c r="C4" i="76" s="1"/>
  <c r="X21" s="1"/>
  <c r="D14" i="66"/>
  <c r="F9"/>
  <c r="E11" s="1"/>
  <c r="F107" i="80" l="1"/>
  <c r="F129" s="1"/>
  <c r="F107" i="86"/>
  <c r="F129" s="1"/>
  <c r="E7" i="76"/>
  <c r="G7"/>
  <c r="I7"/>
  <c r="K7"/>
  <c r="M7"/>
  <c r="O7"/>
  <c r="Q7"/>
  <c r="S7"/>
  <c r="U7"/>
  <c r="W7"/>
  <c r="F7"/>
  <c r="H7"/>
  <c r="J7"/>
  <c r="L7"/>
  <c r="N7"/>
  <c r="P7"/>
  <c r="R7"/>
  <c r="T7"/>
  <c r="V7"/>
  <c r="D7"/>
  <c r="F91" i="40"/>
  <c r="F127" s="1"/>
  <c r="E34"/>
  <c r="F34" s="1"/>
  <c r="F39" s="1"/>
  <c r="F121" s="1"/>
  <c r="F8" i="76"/>
  <c r="H8"/>
  <c r="J8"/>
  <c r="L8"/>
  <c r="N8"/>
  <c r="P8"/>
  <c r="R8"/>
  <c r="T8"/>
  <c r="V8"/>
  <c r="D8"/>
  <c r="E8"/>
  <c r="G8"/>
  <c r="I8"/>
  <c r="K8"/>
  <c r="M8"/>
  <c r="O8"/>
  <c r="Q8"/>
  <c r="S8"/>
  <c r="U8"/>
  <c r="W8"/>
  <c r="D16" i="66"/>
  <c r="F6"/>
  <c r="F107" i="102"/>
  <c r="F129" s="1"/>
  <c r="T27" i="76"/>
  <c r="C14" s="1"/>
  <c r="Q27"/>
  <c r="F7" i="102"/>
  <c r="F8" s="1"/>
  <c r="F119" s="1"/>
  <c r="F7" i="101"/>
  <c r="F8" s="1"/>
  <c r="F119" s="1"/>
  <c r="F130" s="1"/>
  <c r="E110" s="1"/>
  <c r="F110" s="1"/>
  <c r="F116" s="1"/>
  <c r="F132" s="1"/>
  <c r="F133" s="1"/>
  <c r="D135" s="1"/>
  <c r="F135" s="1"/>
  <c r="F137" s="1"/>
  <c r="C4" i="94" s="1"/>
  <c r="X21" s="1"/>
  <c r="F7" i="74"/>
  <c r="E7" i="40"/>
  <c r="F7" s="1"/>
  <c r="F8" s="1"/>
  <c r="F119" s="1"/>
  <c r="F56" i="74"/>
  <c r="F123" s="1"/>
  <c r="F65"/>
  <c r="F124" s="1"/>
  <c r="F73"/>
  <c r="F125" s="1"/>
  <c r="E16" i="66"/>
  <c r="E15"/>
  <c r="F7" i="106"/>
  <c r="F8" s="1"/>
  <c r="F119" s="1"/>
  <c r="F130" s="1"/>
  <c r="E110" s="1"/>
  <c r="F110" s="1"/>
  <c r="F116" s="1"/>
  <c r="F132" s="1"/>
  <c r="F133" s="1"/>
  <c r="D135" s="1"/>
  <c r="F135" s="1"/>
  <c r="F137" s="1"/>
  <c r="C4" i="99" s="1"/>
  <c r="X21" s="1"/>
  <c r="F7" i="105"/>
  <c r="F8" s="1"/>
  <c r="F119" s="1"/>
  <c r="F130" s="1"/>
  <c r="E110" s="1"/>
  <c r="F110" s="1"/>
  <c r="F116" s="1"/>
  <c r="F132" s="1"/>
  <c r="F133" s="1"/>
  <c r="D135" s="1"/>
  <c r="F135" s="1"/>
  <c r="F137" s="1"/>
  <c r="C4" i="96" s="1"/>
  <c r="X21" s="1"/>
  <c r="F7" i="103"/>
  <c r="F8" s="1"/>
  <c r="F119" s="1"/>
  <c r="F130" s="1"/>
  <c r="E110" s="1"/>
  <c r="F110" s="1"/>
  <c r="F116" s="1"/>
  <c r="F132" s="1"/>
  <c r="F133" s="1"/>
  <c r="D135" s="1"/>
  <c r="F135" s="1"/>
  <c r="F137" s="1"/>
  <c r="C4" i="95" s="1"/>
  <c r="X21" s="1"/>
  <c r="F7" i="89"/>
  <c r="F8" s="1"/>
  <c r="F119" s="1"/>
  <c r="F130" s="1"/>
  <c r="E110" s="1"/>
  <c r="F110" s="1"/>
  <c r="F116" s="1"/>
  <c r="F132" s="1"/>
  <c r="F133" s="1"/>
  <c r="D135" s="1"/>
  <c r="F135" s="1"/>
  <c r="F137" s="1"/>
  <c r="C4" i="93" s="1"/>
  <c r="X21" s="1"/>
  <c r="E7" i="83"/>
  <c r="F7" s="1"/>
  <c r="F8" s="1"/>
  <c r="F119" s="1"/>
  <c r="F130" s="1"/>
  <c r="E110" s="1"/>
  <c r="F110" s="1"/>
  <c r="F116" s="1"/>
  <c r="F132" s="1"/>
  <c r="F133" s="1"/>
  <c r="D135" s="1"/>
  <c r="F135" s="1"/>
  <c r="F137" s="1"/>
  <c r="C4" i="62" s="1"/>
  <c r="X21" s="1"/>
  <c r="F7" i="104"/>
  <c r="F8" s="1"/>
  <c r="F119" s="1"/>
  <c r="F130" s="1"/>
  <c r="E110" s="1"/>
  <c r="F110" s="1"/>
  <c r="F116" s="1"/>
  <c r="F132" s="1"/>
  <c r="F133" s="1"/>
  <c r="D135" s="1"/>
  <c r="F135" s="1"/>
  <c r="F137" s="1"/>
  <c r="C4" i="98" s="1"/>
  <c r="X21" s="1"/>
  <c r="F7" i="81"/>
  <c r="F8" s="1"/>
  <c r="F119" s="1"/>
  <c r="F130" s="1"/>
  <c r="E110" s="1"/>
  <c r="F110" s="1"/>
  <c r="F116" s="1"/>
  <c r="F132" s="1"/>
  <c r="F133" s="1"/>
  <c r="D135" s="1"/>
  <c r="F135" s="1"/>
  <c r="F137" s="1"/>
  <c r="C4" i="75" s="1"/>
  <c r="X21" s="1"/>
  <c r="F7" i="80"/>
  <c r="F8" s="1"/>
  <c r="F119" s="1"/>
  <c r="F130" s="1"/>
  <c r="E110" s="1"/>
  <c r="F110" s="1"/>
  <c r="F116" s="1"/>
  <c r="F132" s="1"/>
  <c r="F133" s="1"/>
  <c r="D135" s="1"/>
  <c r="F135" s="1"/>
  <c r="F137" s="1"/>
  <c r="F7" i="85"/>
  <c r="F8" s="1"/>
  <c r="F119" s="1"/>
  <c r="F130" s="1"/>
  <c r="E110" s="1"/>
  <c r="F110" s="1"/>
  <c r="F116" s="1"/>
  <c r="F132" s="1"/>
  <c r="F133" s="1"/>
  <c r="D135" s="1"/>
  <c r="F135" s="1"/>
  <c r="F137" s="1"/>
  <c r="C4" i="90" s="1"/>
  <c r="X21" s="1"/>
  <c r="F7" i="86"/>
  <c r="F8" s="1"/>
  <c r="F119" s="1"/>
  <c r="F130" s="1"/>
  <c r="E110" s="1"/>
  <c r="F110" s="1"/>
  <c r="F116" s="1"/>
  <c r="F132" s="1"/>
  <c r="F133" s="1"/>
  <c r="D135" s="1"/>
  <c r="F135" s="1"/>
  <c r="F137" s="1"/>
  <c r="C4" i="92" s="1"/>
  <c r="X21" s="1"/>
  <c r="F47" i="40"/>
  <c r="F122" s="1"/>
  <c r="E14" i="66"/>
  <c r="F15" i="62"/>
  <c r="U15"/>
  <c r="Q15"/>
  <c r="M15"/>
  <c r="I15"/>
  <c r="E15"/>
  <c r="D15"/>
  <c r="T15"/>
  <c r="P15"/>
  <c r="L15"/>
  <c r="H15"/>
  <c r="W15"/>
  <c r="S15"/>
  <c r="O15"/>
  <c r="K15"/>
  <c r="G15"/>
  <c r="V15"/>
  <c r="R15"/>
  <c r="N15"/>
  <c r="J15"/>
  <c r="H18" i="5"/>
  <c r="E18" i="58"/>
  <c r="F18"/>
  <c r="W6" i="57"/>
  <c r="W18" i="5"/>
  <c r="V18" i="62"/>
  <c r="U18" i="5"/>
  <c r="T18" i="62"/>
  <c r="R6" i="58"/>
  <c r="R6" i="5"/>
  <c r="R18"/>
  <c r="M6"/>
  <c r="J18" i="57"/>
  <c r="I18" i="5"/>
  <c r="J18" i="62"/>
  <c r="D18" i="58"/>
  <c r="G18" i="57"/>
  <c r="K18" i="5"/>
  <c r="H6" i="75"/>
  <c r="D16"/>
  <c r="H16"/>
  <c r="L16"/>
  <c r="P16"/>
  <c r="T16"/>
  <c r="W6" i="76"/>
  <c r="D16"/>
  <c r="D20" s="1"/>
  <c r="L16"/>
  <c r="T16"/>
  <c r="T20" s="1"/>
  <c r="O18" i="62"/>
  <c r="L18"/>
  <c r="P18" i="75"/>
  <c r="H6" i="76"/>
  <c r="R6"/>
  <c r="F16"/>
  <c r="F20" s="1"/>
  <c r="J16"/>
  <c r="J20" s="1"/>
  <c r="N16"/>
  <c r="R16"/>
  <c r="R20" s="1"/>
  <c r="V16"/>
  <c r="V20" s="1"/>
  <c r="F8" i="74"/>
  <c r="F119" s="1"/>
  <c r="O18" i="57"/>
  <c r="Q18"/>
  <c r="P18" i="5"/>
  <c r="M18"/>
  <c r="D18" i="75"/>
  <c r="T18"/>
  <c r="E13" i="66"/>
  <c r="E12"/>
  <c r="D17"/>
  <c r="D18" s="1"/>
  <c r="D18" i="62"/>
  <c r="E18" i="57"/>
  <c r="F15" i="66"/>
  <c r="F14"/>
  <c r="W18" i="62"/>
  <c r="W18" i="57"/>
  <c r="V18" i="58"/>
  <c r="V18" i="5"/>
  <c r="V16" i="62"/>
  <c r="U18"/>
  <c r="U18" i="57"/>
  <c r="T18" i="58"/>
  <c r="T18" i="5"/>
  <c r="T16" i="62"/>
  <c r="S18" i="58"/>
  <c r="R6" i="62"/>
  <c r="R18" i="58"/>
  <c r="Q18"/>
  <c r="Q18" i="5"/>
  <c r="Q16" i="62"/>
  <c r="P18" i="58"/>
  <c r="O18"/>
  <c r="O18" i="5"/>
  <c r="O16" i="62"/>
  <c r="N18" i="5"/>
  <c r="N16" i="62"/>
  <c r="L18" i="57"/>
  <c r="K16" i="62"/>
  <c r="E18"/>
  <c r="D18" i="5"/>
  <c r="F120" i="74"/>
  <c r="F47"/>
  <c r="F122" s="1"/>
  <c r="F99"/>
  <c r="F128" s="1"/>
  <c r="H18" i="75"/>
  <c r="W16"/>
  <c r="W16" i="76"/>
  <c r="F30" i="40"/>
  <c r="F120" s="1"/>
  <c r="F107" i="74"/>
  <c r="F129" s="1"/>
  <c r="F91"/>
  <c r="F127" s="1"/>
  <c r="F82"/>
  <c r="F126" s="1"/>
  <c r="F107" i="40"/>
  <c r="F129" s="1"/>
  <c r="F130" s="1"/>
  <c r="W18" i="75"/>
  <c r="N18" i="58"/>
  <c r="M18"/>
  <c r="L18"/>
  <c r="L18" i="5"/>
  <c r="L16" i="62"/>
  <c r="K18" i="58"/>
  <c r="J18"/>
  <c r="J18" i="5"/>
  <c r="J16" i="62"/>
  <c r="I18" i="58"/>
  <c r="H6" i="62"/>
  <c r="H18" i="58"/>
  <c r="G18" i="5"/>
  <c r="G16" i="62"/>
  <c r="F18" i="5"/>
  <c r="F16" i="62"/>
  <c r="E18" i="5"/>
  <c r="E16" i="62"/>
  <c r="M6" i="75"/>
  <c r="E16"/>
  <c r="G16"/>
  <c r="I16"/>
  <c r="K16"/>
  <c r="M16"/>
  <c r="O16"/>
  <c r="Q16"/>
  <c r="S16"/>
  <c r="U16"/>
  <c r="F18"/>
  <c r="F20" s="1"/>
  <c r="J18"/>
  <c r="J20" s="1"/>
  <c r="N18"/>
  <c r="R18"/>
  <c r="R20" s="1"/>
  <c r="V18"/>
  <c r="V20" s="1"/>
  <c r="E16" i="76"/>
  <c r="E20" s="1"/>
  <c r="G16"/>
  <c r="I16"/>
  <c r="I20" s="1"/>
  <c r="K16"/>
  <c r="M16"/>
  <c r="M20" s="1"/>
  <c r="O16"/>
  <c r="Q16"/>
  <c r="Q20" s="1"/>
  <c r="S16"/>
  <c r="U16"/>
  <c r="U20" s="1"/>
  <c r="E16" i="57"/>
  <c r="F16"/>
  <c r="J16"/>
  <c r="L16"/>
  <c r="O16"/>
  <c r="Q16"/>
  <c r="T16"/>
  <c r="V16"/>
  <c r="D15"/>
  <c r="G15"/>
  <c r="K15"/>
  <c r="O15"/>
  <c r="S15"/>
  <c r="W15"/>
  <c r="H15"/>
  <c r="L15"/>
  <c r="P15"/>
  <c r="T15"/>
  <c r="H16"/>
  <c r="D16"/>
  <c r="I16"/>
  <c r="K16"/>
  <c r="M16"/>
  <c r="N16"/>
  <c r="P16"/>
  <c r="R16"/>
  <c r="S16"/>
  <c r="U16"/>
  <c r="W16"/>
  <c r="E15"/>
  <c r="I15"/>
  <c r="M15"/>
  <c r="Q15"/>
  <c r="U15"/>
  <c r="F15"/>
  <c r="J15"/>
  <c r="N15"/>
  <c r="R15"/>
  <c r="V15"/>
  <c r="G16"/>
  <c r="N16" i="5"/>
  <c r="Q16"/>
  <c r="V16"/>
  <c r="P15"/>
  <c r="M15"/>
  <c r="U16"/>
  <c r="K16"/>
  <c r="P16"/>
  <c r="F16"/>
  <c r="N15"/>
  <c r="V15"/>
  <c r="K15"/>
  <c r="S15"/>
  <c r="D16"/>
  <c r="M16"/>
  <c r="D15"/>
  <c r="L15"/>
  <c r="E16"/>
  <c r="U15"/>
  <c r="R16"/>
  <c r="H16"/>
  <c r="L16"/>
  <c r="T16"/>
  <c r="W16"/>
  <c r="E15"/>
  <c r="Q15"/>
  <c r="I16"/>
  <c r="J15"/>
  <c r="R15"/>
  <c r="G15"/>
  <c r="O15"/>
  <c r="W15"/>
  <c r="H15"/>
  <c r="H20" s="1"/>
  <c r="T15"/>
  <c r="I15"/>
  <c r="G16"/>
  <c r="J16"/>
  <c r="O16"/>
  <c r="S16"/>
  <c r="F15"/>
  <c r="S18" i="62"/>
  <c r="S18" i="57"/>
  <c r="R18" i="62"/>
  <c r="R18" i="57"/>
  <c r="P18" i="62"/>
  <c r="P20" s="1"/>
  <c r="P18" i="57"/>
  <c r="N18" i="62"/>
  <c r="N18" i="57"/>
  <c r="M18" i="62"/>
  <c r="M18" i="57"/>
  <c r="K18" i="62"/>
  <c r="K18" i="57"/>
  <c r="I18" i="62"/>
  <c r="I18" i="57"/>
  <c r="H18" i="62"/>
  <c r="H20" s="1"/>
  <c r="H18" i="57"/>
  <c r="F18"/>
  <c r="G18" i="62"/>
  <c r="F18"/>
  <c r="E18" i="75"/>
  <c r="G18"/>
  <c r="I18"/>
  <c r="K18"/>
  <c r="M18"/>
  <c r="O18"/>
  <c r="Q18"/>
  <c r="S18"/>
  <c r="U18"/>
  <c r="N20" i="76"/>
  <c r="D16" i="58"/>
  <c r="K16"/>
  <c r="M16"/>
  <c r="S16"/>
  <c r="U16"/>
  <c r="W16"/>
  <c r="S15"/>
  <c r="W15"/>
  <c r="I15"/>
  <c r="R15"/>
  <c r="D15"/>
  <c r="M15"/>
  <c r="T15"/>
  <c r="I16"/>
  <c r="L16"/>
  <c r="T16"/>
  <c r="V16"/>
  <c r="U15"/>
  <c r="V15"/>
  <c r="L15"/>
  <c r="H15"/>
  <c r="F15"/>
  <c r="O15"/>
  <c r="J16"/>
  <c r="H16"/>
  <c r="N16"/>
  <c r="P16"/>
  <c r="R16"/>
  <c r="Q15"/>
  <c r="N15"/>
  <c r="E15"/>
  <c r="F16"/>
  <c r="O16"/>
  <c r="Q16"/>
  <c r="G15"/>
  <c r="P15"/>
  <c r="G16"/>
  <c r="J15"/>
  <c r="K15"/>
  <c r="E16"/>
  <c r="E34" i="74"/>
  <c r="F34" s="1"/>
  <c r="F39" s="1"/>
  <c r="F121" s="1"/>
  <c r="C4" i="5" l="1"/>
  <c r="X21" s="1"/>
  <c r="V20" i="58"/>
  <c r="O20" i="62"/>
  <c r="I20" i="5"/>
  <c r="V20" i="62"/>
  <c r="F130" i="102"/>
  <c r="E110" s="1"/>
  <c r="F110" s="1"/>
  <c r="F116" s="1"/>
  <c r="F132" s="1"/>
  <c r="F133" s="1"/>
  <c r="D135" s="1"/>
  <c r="F135" s="1"/>
  <c r="F137" s="1"/>
  <c r="C4" i="97" s="1"/>
  <c r="K7" s="1"/>
  <c r="F7" i="93"/>
  <c r="H7"/>
  <c r="J7"/>
  <c r="L7"/>
  <c r="N7"/>
  <c r="P7"/>
  <c r="R7"/>
  <c r="T7"/>
  <c r="V7"/>
  <c r="E7"/>
  <c r="G7"/>
  <c r="I7"/>
  <c r="K7"/>
  <c r="M7"/>
  <c r="O7"/>
  <c r="Q7"/>
  <c r="S7"/>
  <c r="U7"/>
  <c r="W7"/>
  <c r="D7"/>
  <c r="D20" i="62"/>
  <c r="E7" i="92"/>
  <c r="G7"/>
  <c r="G10" s="1"/>
  <c r="G23" s="1"/>
  <c r="G24" s="1"/>
  <c r="I7"/>
  <c r="K7"/>
  <c r="K10" s="1"/>
  <c r="K23" s="1"/>
  <c r="K24" s="1"/>
  <c r="M7"/>
  <c r="O7"/>
  <c r="Q7"/>
  <c r="S7"/>
  <c r="U7"/>
  <c r="W7"/>
  <c r="W10" s="1"/>
  <c r="D7"/>
  <c r="F7"/>
  <c r="H7"/>
  <c r="J7"/>
  <c r="L7"/>
  <c r="N7"/>
  <c r="P7"/>
  <c r="R7"/>
  <c r="T7"/>
  <c r="V7"/>
  <c r="F7" i="90"/>
  <c r="H7"/>
  <c r="J7"/>
  <c r="L7"/>
  <c r="N7"/>
  <c r="P7"/>
  <c r="R7"/>
  <c r="T7"/>
  <c r="V7"/>
  <c r="D7"/>
  <c r="E7"/>
  <c r="G7"/>
  <c r="I7"/>
  <c r="K7"/>
  <c r="M7"/>
  <c r="O7"/>
  <c r="Q7"/>
  <c r="S7"/>
  <c r="U7"/>
  <c r="W7"/>
  <c r="E7" i="62"/>
  <c r="G7"/>
  <c r="I7"/>
  <c r="K7"/>
  <c r="M7"/>
  <c r="O7"/>
  <c r="Q7"/>
  <c r="S7"/>
  <c r="U7"/>
  <c r="W7"/>
  <c r="F7"/>
  <c r="H7"/>
  <c r="J7"/>
  <c r="L7"/>
  <c r="N7"/>
  <c r="P7"/>
  <c r="R7"/>
  <c r="T7"/>
  <c r="V7"/>
  <c r="D7"/>
  <c r="E7" i="95"/>
  <c r="G7"/>
  <c r="I7"/>
  <c r="K7"/>
  <c r="M7"/>
  <c r="O7"/>
  <c r="Q7"/>
  <c r="S7"/>
  <c r="U7"/>
  <c r="W7"/>
  <c r="F7"/>
  <c r="H7"/>
  <c r="J7"/>
  <c r="L7"/>
  <c r="N7"/>
  <c r="P7"/>
  <c r="R7"/>
  <c r="T7"/>
  <c r="V7"/>
  <c r="D7"/>
  <c r="E7" i="99"/>
  <c r="G7"/>
  <c r="I7"/>
  <c r="K7"/>
  <c r="M7"/>
  <c r="O7"/>
  <c r="Q7"/>
  <c r="S7"/>
  <c r="U7"/>
  <c r="W7"/>
  <c r="F7"/>
  <c r="H7"/>
  <c r="J7"/>
  <c r="L7"/>
  <c r="N7"/>
  <c r="P7"/>
  <c r="R7"/>
  <c r="T7"/>
  <c r="V7"/>
  <c r="D7"/>
  <c r="F7" i="94"/>
  <c r="H7"/>
  <c r="J7"/>
  <c r="L7"/>
  <c r="N7"/>
  <c r="P7"/>
  <c r="R7"/>
  <c r="T7"/>
  <c r="V7"/>
  <c r="D7"/>
  <c r="E7"/>
  <c r="G7"/>
  <c r="I7"/>
  <c r="K7"/>
  <c r="M7"/>
  <c r="O7"/>
  <c r="Q7"/>
  <c r="S7"/>
  <c r="U7"/>
  <c r="W7"/>
  <c r="F7" i="98"/>
  <c r="H7"/>
  <c r="J7"/>
  <c r="L7"/>
  <c r="N7"/>
  <c r="P7"/>
  <c r="R7"/>
  <c r="T7"/>
  <c r="V7"/>
  <c r="D7"/>
  <c r="E7"/>
  <c r="G7"/>
  <c r="I7"/>
  <c r="K7"/>
  <c r="M7"/>
  <c r="O7"/>
  <c r="Q7"/>
  <c r="S7"/>
  <c r="U7"/>
  <c r="W7"/>
  <c r="F7" i="96"/>
  <c r="H7"/>
  <c r="J7"/>
  <c r="L7"/>
  <c r="N7"/>
  <c r="P7"/>
  <c r="R7"/>
  <c r="T7"/>
  <c r="V7"/>
  <c r="D7"/>
  <c r="E7"/>
  <c r="G7"/>
  <c r="I7"/>
  <c r="K7"/>
  <c r="M7"/>
  <c r="O7"/>
  <c r="Q7"/>
  <c r="S7"/>
  <c r="U7"/>
  <c r="W7"/>
  <c r="U20" i="58"/>
  <c r="Q20" i="62"/>
  <c r="M20"/>
  <c r="R20"/>
  <c r="T20" i="57"/>
  <c r="N20" i="62"/>
  <c r="V20" i="57"/>
  <c r="Q20"/>
  <c r="F8" i="92"/>
  <c r="H8"/>
  <c r="J8"/>
  <c r="L8"/>
  <c r="N8"/>
  <c r="P8"/>
  <c r="R8"/>
  <c r="T8"/>
  <c r="V8"/>
  <c r="D8"/>
  <c r="E8"/>
  <c r="G8"/>
  <c r="I8"/>
  <c r="K8"/>
  <c r="M8"/>
  <c r="O8"/>
  <c r="Q8"/>
  <c r="S8"/>
  <c r="U8"/>
  <c r="W8"/>
  <c r="F8" i="93"/>
  <c r="H8"/>
  <c r="J8"/>
  <c r="L8"/>
  <c r="N8"/>
  <c r="P8"/>
  <c r="R8"/>
  <c r="T8"/>
  <c r="V8"/>
  <c r="E8"/>
  <c r="G8"/>
  <c r="I8"/>
  <c r="K8"/>
  <c r="M8"/>
  <c r="O8"/>
  <c r="Q8"/>
  <c r="S8"/>
  <c r="U8"/>
  <c r="W8"/>
  <c r="D8"/>
  <c r="E8" i="90"/>
  <c r="E10" s="1"/>
  <c r="E23" s="1"/>
  <c r="E24" s="1"/>
  <c r="G8"/>
  <c r="I8"/>
  <c r="K8"/>
  <c r="K10" s="1"/>
  <c r="K23" s="1"/>
  <c r="K24" s="1"/>
  <c r="M8"/>
  <c r="O8"/>
  <c r="Q8"/>
  <c r="S8"/>
  <c r="S10" s="1"/>
  <c r="S23" s="1"/>
  <c r="S24" s="1"/>
  <c r="U8"/>
  <c r="W8"/>
  <c r="F8"/>
  <c r="H8"/>
  <c r="J8"/>
  <c r="L8"/>
  <c r="N8"/>
  <c r="P8"/>
  <c r="P10" s="1"/>
  <c r="P23" s="1"/>
  <c r="P24" s="1"/>
  <c r="R8"/>
  <c r="T8"/>
  <c r="V8"/>
  <c r="D8"/>
  <c r="E8" i="62"/>
  <c r="G8"/>
  <c r="I8"/>
  <c r="K8"/>
  <c r="M8"/>
  <c r="O8"/>
  <c r="Q8"/>
  <c r="S8"/>
  <c r="U8"/>
  <c r="W8"/>
  <c r="F8"/>
  <c r="H8"/>
  <c r="J8"/>
  <c r="L8"/>
  <c r="N8"/>
  <c r="P8"/>
  <c r="R8"/>
  <c r="T8"/>
  <c r="V8"/>
  <c r="D8"/>
  <c r="F11" i="66"/>
  <c r="F13"/>
  <c r="F16"/>
  <c r="F12"/>
  <c r="C10" i="93"/>
  <c r="B21" i="78" s="1"/>
  <c r="B11" i="114" s="1"/>
  <c r="C10" i="90"/>
  <c r="B17" i="78" s="1"/>
  <c r="B6" i="114" s="1"/>
  <c r="O10" i="92"/>
  <c r="O23" s="1"/>
  <c r="O24" s="1"/>
  <c r="P10"/>
  <c r="P23" s="1"/>
  <c r="P24" s="1"/>
  <c r="C10"/>
  <c r="B20" i="78" s="1"/>
  <c r="E10" i="92"/>
  <c r="E23" s="1"/>
  <c r="E24" s="1"/>
  <c r="S10"/>
  <c r="S23" s="1"/>
  <c r="S24" s="1"/>
  <c r="P20" i="75"/>
  <c r="U20" i="62"/>
  <c r="V20" i="5"/>
  <c r="L20" i="57"/>
  <c r="O20"/>
  <c r="T20" i="62"/>
  <c r="U20" i="5"/>
  <c r="T20" i="75"/>
  <c r="U20"/>
  <c r="Q20"/>
  <c r="M20"/>
  <c r="I20"/>
  <c r="E20"/>
  <c r="N20"/>
  <c r="K20" i="5"/>
  <c r="D20" i="58"/>
  <c r="L20" i="76"/>
  <c r="T20" i="5"/>
  <c r="L20" i="75"/>
  <c r="D20"/>
  <c r="L20" i="62"/>
  <c r="F20" i="5"/>
  <c r="S20" i="62"/>
  <c r="L20" i="58"/>
  <c r="J20" i="57"/>
  <c r="E20"/>
  <c r="H20" i="75"/>
  <c r="R20" i="57"/>
  <c r="M20"/>
  <c r="G20" i="5"/>
  <c r="Q20"/>
  <c r="R20"/>
  <c r="D20"/>
  <c r="M20"/>
  <c r="N20" i="57"/>
  <c r="F20"/>
  <c r="I20"/>
  <c r="P20" i="76"/>
  <c r="O20"/>
  <c r="H20"/>
  <c r="J20" i="5"/>
  <c r="S20"/>
  <c r="O20"/>
  <c r="L20"/>
  <c r="N20"/>
  <c r="P20"/>
  <c r="U20" i="57"/>
  <c r="P20"/>
  <c r="H20"/>
  <c r="S20"/>
  <c r="K20"/>
  <c r="D20"/>
  <c r="E20" i="62"/>
  <c r="F130" i="74"/>
  <c r="E110" s="1"/>
  <c r="F110" s="1"/>
  <c r="F116" s="1"/>
  <c r="F132" s="1"/>
  <c r="F133" s="1"/>
  <c r="S20" i="76"/>
  <c r="K20"/>
  <c r="G20"/>
  <c r="S20" i="75"/>
  <c r="O20"/>
  <c r="K20"/>
  <c r="G20"/>
  <c r="G20" i="57"/>
  <c r="J20" i="62"/>
  <c r="E110" i="40"/>
  <c r="F110" s="1"/>
  <c r="F116" s="1"/>
  <c r="F132" s="1"/>
  <c r="F133" s="1"/>
  <c r="K20" i="62"/>
  <c r="I20"/>
  <c r="E20" i="5"/>
  <c r="G20" i="62"/>
  <c r="F20"/>
  <c r="K20" i="58"/>
  <c r="J20"/>
  <c r="P20"/>
  <c r="O20"/>
  <c r="H20"/>
  <c r="M20"/>
  <c r="G20"/>
  <c r="N20"/>
  <c r="F20"/>
  <c r="T20"/>
  <c r="I20"/>
  <c r="S20"/>
  <c r="E20"/>
  <c r="Q20"/>
  <c r="R20"/>
  <c r="Q27" i="117" l="1"/>
  <c r="C13" s="1"/>
  <c r="C20" s="1"/>
  <c r="C23" s="1"/>
  <c r="T27"/>
  <c r="C14" s="1"/>
  <c r="N10" i="92"/>
  <c r="N23" s="1"/>
  <c r="N24" s="1"/>
  <c r="J10"/>
  <c r="J23" s="1"/>
  <c r="J24" s="1"/>
  <c r="G10" i="93"/>
  <c r="G23" s="1"/>
  <c r="G24" s="1"/>
  <c r="W10"/>
  <c r="Q27" i="92"/>
  <c r="B10" i="114"/>
  <c r="T10" i="92"/>
  <c r="T23" s="1"/>
  <c r="T24" s="1"/>
  <c r="D10"/>
  <c r="D23" s="1"/>
  <c r="D24" s="1"/>
  <c r="E10" i="93"/>
  <c r="E23" s="1"/>
  <c r="E24" s="1"/>
  <c r="P10"/>
  <c r="P23" s="1"/>
  <c r="P24" s="1"/>
  <c r="K10"/>
  <c r="K23" s="1"/>
  <c r="K24" s="1"/>
  <c r="T10"/>
  <c r="T23" s="1"/>
  <c r="T24" s="1"/>
  <c r="I10"/>
  <c r="I23" s="1"/>
  <c r="I24" s="1"/>
  <c r="U10"/>
  <c r="U23" s="1"/>
  <c r="U24" s="1"/>
  <c r="U10" i="92"/>
  <c r="U23" s="1"/>
  <c r="U24" s="1"/>
  <c r="Q10"/>
  <c r="Q23" s="1"/>
  <c r="Q24" s="1"/>
  <c r="F10" i="90"/>
  <c r="F23" s="1"/>
  <c r="F24" s="1"/>
  <c r="W10"/>
  <c r="O10"/>
  <c r="O23" s="1"/>
  <c r="O24" s="1"/>
  <c r="G10"/>
  <c r="G23" s="1"/>
  <c r="G24" s="1"/>
  <c r="V7" i="97"/>
  <c r="N7"/>
  <c r="F7"/>
  <c r="Q7"/>
  <c r="I7"/>
  <c r="R7"/>
  <c r="J7"/>
  <c r="U7"/>
  <c r="M7"/>
  <c r="E7"/>
  <c r="D7"/>
  <c r="P7"/>
  <c r="H7"/>
  <c r="S7"/>
  <c r="X21"/>
  <c r="T7"/>
  <c r="L7"/>
  <c r="W7"/>
  <c r="O7"/>
  <c r="G7"/>
  <c r="U10" i="90"/>
  <c r="U23" s="1"/>
  <c r="U24" s="1"/>
  <c r="Q10"/>
  <c r="Q23" s="1"/>
  <c r="Q24" s="1"/>
  <c r="M10"/>
  <c r="M23" s="1"/>
  <c r="M24" s="1"/>
  <c r="I10"/>
  <c r="I23" s="1"/>
  <c r="I24" s="1"/>
  <c r="F7" i="75"/>
  <c r="H7"/>
  <c r="J7"/>
  <c r="L7"/>
  <c r="N7"/>
  <c r="P7"/>
  <c r="R7"/>
  <c r="T7"/>
  <c r="V7"/>
  <c r="D7"/>
  <c r="E7"/>
  <c r="G7"/>
  <c r="I7"/>
  <c r="K7"/>
  <c r="M7"/>
  <c r="O7"/>
  <c r="Q7"/>
  <c r="S7"/>
  <c r="U7"/>
  <c r="W7"/>
  <c r="E7" i="5"/>
  <c r="G7"/>
  <c r="I7"/>
  <c r="K7"/>
  <c r="M7"/>
  <c r="O7"/>
  <c r="Q7"/>
  <c r="S7"/>
  <c r="U7"/>
  <c r="W7"/>
  <c r="F7"/>
  <c r="H7"/>
  <c r="J7"/>
  <c r="L7"/>
  <c r="N7"/>
  <c r="P7"/>
  <c r="R7"/>
  <c r="T7"/>
  <c r="V7"/>
  <c r="D7"/>
  <c r="L10" i="90"/>
  <c r="L23" s="1"/>
  <c r="L24" s="1"/>
  <c r="V10"/>
  <c r="V23" s="1"/>
  <c r="R10"/>
  <c r="R23" s="1"/>
  <c r="R24" s="1"/>
  <c r="D10" i="93"/>
  <c r="D23" s="1"/>
  <c r="D24" s="1"/>
  <c r="N10"/>
  <c r="N23" s="1"/>
  <c r="N24" s="1"/>
  <c r="J10"/>
  <c r="J23" s="1"/>
  <c r="J24" s="1"/>
  <c r="L10" i="92"/>
  <c r="L23" s="1"/>
  <c r="L24" s="1"/>
  <c r="H10"/>
  <c r="H23" s="1"/>
  <c r="H24" s="1"/>
  <c r="V10"/>
  <c r="V23" s="1"/>
  <c r="R10"/>
  <c r="R23" s="1"/>
  <c r="R24" s="1"/>
  <c r="F10"/>
  <c r="F23" s="1"/>
  <c r="F24" s="1"/>
  <c r="Q10" i="93"/>
  <c r="Q23" s="1"/>
  <c r="Q24" s="1"/>
  <c r="M10"/>
  <c r="M23" s="1"/>
  <c r="M24" s="1"/>
  <c r="M10" i="92"/>
  <c r="M23" s="1"/>
  <c r="M24" s="1"/>
  <c r="I10"/>
  <c r="I23" s="1"/>
  <c r="I24" s="1"/>
  <c r="D10" i="90"/>
  <c r="D23" s="1"/>
  <c r="D24" s="1"/>
  <c r="N10"/>
  <c r="N23" s="1"/>
  <c r="N24" s="1"/>
  <c r="J10"/>
  <c r="J23" s="1"/>
  <c r="J24" s="1"/>
  <c r="V10" i="93"/>
  <c r="V23" s="1"/>
  <c r="T10" i="90"/>
  <c r="T23" s="1"/>
  <c r="T24" s="1"/>
  <c r="H10"/>
  <c r="H23" s="1"/>
  <c r="H24" s="1"/>
  <c r="R10" i="93"/>
  <c r="R23" s="1"/>
  <c r="R24" s="1"/>
  <c r="F10"/>
  <c r="F23" s="1"/>
  <c r="F24" s="1"/>
  <c r="L10"/>
  <c r="L23" s="1"/>
  <c r="L24" s="1"/>
  <c r="H10"/>
  <c r="H23" s="1"/>
  <c r="H24" s="1"/>
  <c r="S10"/>
  <c r="S23" s="1"/>
  <c r="S24" s="1"/>
  <c r="O10"/>
  <c r="O23" s="1"/>
  <c r="O24" s="1"/>
  <c r="F8" i="75"/>
  <c r="H8"/>
  <c r="J8"/>
  <c r="L8"/>
  <c r="N8"/>
  <c r="P8"/>
  <c r="R8"/>
  <c r="T8"/>
  <c r="V8"/>
  <c r="E8"/>
  <c r="G8"/>
  <c r="I8"/>
  <c r="K8"/>
  <c r="M8"/>
  <c r="O8"/>
  <c r="Q8"/>
  <c r="S8"/>
  <c r="U8"/>
  <c r="W8"/>
  <c r="D8"/>
  <c r="E8" i="95"/>
  <c r="E10" s="1"/>
  <c r="E23" s="1"/>
  <c r="E24" s="1"/>
  <c r="G8"/>
  <c r="I8"/>
  <c r="I10" s="1"/>
  <c r="I23" s="1"/>
  <c r="I24" s="1"/>
  <c r="K8"/>
  <c r="M8"/>
  <c r="M10" s="1"/>
  <c r="M23" s="1"/>
  <c r="M24" s="1"/>
  <c r="O8"/>
  <c r="O10" s="1"/>
  <c r="O23" s="1"/>
  <c r="O24" s="1"/>
  <c r="Q8"/>
  <c r="Q10" s="1"/>
  <c r="Q23" s="1"/>
  <c r="Q24" s="1"/>
  <c r="S8"/>
  <c r="S10" s="1"/>
  <c r="S23" s="1"/>
  <c r="S24" s="1"/>
  <c r="U8"/>
  <c r="U10" s="1"/>
  <c r="U23" s="1"/>
  <c r="U24" s="1"/>
  <c r="W8"/>
  <c r="W10" s="1"/>
  <c r="F8"/>
  <c r="F10" s="1"/>
  <c r="F23" s="1"/>
  <c r="F24" s="1"/>
  <c r="H8"/>
  <c r="H10" s="1"/>
  <c r="H23" s="1"/>
  <c r="H24" s="1"/>
  <c r="J8"/>
  <c r="J10" s="1"/>
  <c r="J23" s="1"/>
  <c r="J24" s="1"/>
  <c r="L8"/>
  <c r="L10" s="1"/>
  <c r="L23" s="1"/>
  <c r="L24" s="1"/>
  <c r="N8"/>
  <c r="N10" s="1"/>
  <c r="N23" s="1"/>
  <c r="N24" s="1"/>
  <c r="P8"/>
  <c r="P10" s="1"/>
  <c r="P23" s="1"/>
  <c r="P24" s="1"/>
  <c r="R8"/>
  <c r="R10" s="1"/>
  <c r="R23" s="1"/>
  <c r="R24" s="1"/>
  <c r="T8"/>
  <c r="T10" s="1"/>
  <c r="T23" s="1"/>
  <c r="T24" s="1"/>
  <c r="V8"/>
  <c r="V10" s="1"/>
  <c r="V23" s="1"/>
  <c r="D8"/>
  <c r="D10" s="1"/>
  <c r="D23" s="1"/>
  <c r="D24" s="1"/>
  <c r="F8" i="96"/>
  <c r="F10" s="1"/>
  <c r="F23" s="1"/>
  <c r="F24" s="1"/>
  <c r="H8"/>
  <c r="J8"/>
  <c r="J10" s="1"/>
  <c r="J23" s="1"/>
  <c r="J24" s="1"/>
  <c r="L8"/>
  <c r="L10" s="1"/>
  <c r="L23" s="1"/>
  <c r="L24" s="1"/>
  <c r="N8"/>
  <c r="N10" s="1"/>
  <c r="N23" s="1"/>
  <c r="N24" s="1"/>
  <c r="P8"/>
  <c r="P10" s="1"/>
  <c r="P23" s="1"/>
  <c r="P24" s="1"/>
  <c r="R8"/>
  <c r="R10" s="1"/>
  <c r="R23" s="1"/>
  <c r="R24" s="1"/>
  <c r="T8"/>
  <c r="T10" s="1"/>
  <c r="T23" s="1"/>
  <c r="T24" s="1"/>
  <c r="V8"/>
  <c r="V10" s="1"/>
  <c r="V23" s="1"/>
  <c r="E8"/>
  <c r="E10" s="1"/>
  <c r="E23" s="1"/>
  <c r="E24" s="1"/>
  <c r="G8"/>
  <c r="G10" s="1"/>
  <c r="G23" s="1"/>
  <c r="G24" s="1"/>
  <c r="I8"/>
  <c r="I10" s="1"/>
  <c r="I23" s="1"/>
  <c r="I24" s="1"/>
  <c r="K8"/>
  <c r="K10" s="1"/>
  <c r="K23" s="1"/>
  <c r="K24" s="1"/>
  <c r="M8"/>
  <c r="M10" s="1"/>
  <c r="M23" s="1"/>
  <c r="M24" s="1"/>
  <c r="O8"/>
  <c r="O10" s="1"/>
  <c r="O23" s="1"/>
  <c r="O24" s="1"/>
  <c r="Q8"/>
  <c r="S8"/>
  <c r="S10" s="1"/>
  <c r="S23" s="1"/>
  <c r="S24" s="1"/>
  <c r="U8"/>
  <c r="U10" s="1"/>
  <c r="U23" s="1"/>
  <c r="U24" s="1"/>
  <c r="W8"/>
  <c r="W10" s="1"/>
  <c r="D8"/>
  <c r="D10" s="1"/>
  <c r="D23" s="1"/>
  <c r="D24" s="1"/>
  <c r="F8" i="99"/>
  <c r="F10" s="1"/>
  <c r="F23" s="1"/>
  <c r="F24" s="1"/>
  <c r="H8"/>
  <c r="H10" s="1"/>
  <c r="H23" s="1"/>
  <c r="H24" s="1"/>
  <c r="J8"/>
  <c r="J10" s="1"/>
  <c r="J23" s="1"/>
  <c r="J24" s="1"/>
  <c r="L8"/>
  <c r="L10" s="1"/>
  <c r="L23" s="1"/>
  <c r="L24" s="1"/>
  <c r="N8"/>
  <c r="N10" s="1"/>
  <c r="N23" s="1"/>
  <c r="N24" s="1"/>
  <c r="P8"/>
  <c r="P10" s="1"/>
  <c r="P23" s="1"/>
  <c r="P24" s="1"/>
  <c r="R8"/>
  <c r="R10" s="1"/>
  <c r="R23" s="1"/>
  <c r="R24" s="1"/>
  <c r="T8"/>
  <c r="T10" s="1"/>
  <c r="T23" s="1"/>
  <c r="T24" s="1"/>
  <c r="V8"/>
  <c r="V10" s="1"/>
  <c r="D8"/>
  <c r="D10" s="1"/>
  <c r="D23" s="1"/>
  <c r="D24" s="1"/>
  <c r="E8"/>
  <c r="E10" s="1"/>
  <c r="E23" s="1"/>
  <c r="E24" s="1"/>
  <c r="G8"/>
  <c r="G10" s="1"/>
  <c r="G23" s="1"/>
  <c r="G24" s="1"/>
  <c r="I8"/>
  <c r="I10" s="1"/>
  <c r="I23" s="1"/>
  <c r="I24" s="1"/>
  <c r="K8"/>
  <c r="K10" s="1"/>
  <c r="K23" s="1"/>
  <c r="K24" s="1"/>
  <c r="M8"/>
  <c r="M10" s="1"/>
  <c r="M23" s="1"/>
  <c r="M24" s="1"/>
  <c r="O8"/>
  <c r="O10" s="1"/>
  <c r="O23" s="1"/>
  <c r="O24" s="1"/>
  <c r="Q8"/>
  <c r="Q10" s="1"/>
  <c r="Q23" s="1"/>
  <c r="Q24" s="1"/>
  <c r="S8"/>
  <c r="S10" s="1"/>
  <c r="S23" s="1"/>
  <c r="S24" s="1"/>
  <c r="U8"/>
  <c r="U10" s="1"/>
  <c r="U23" s="1"/>
  <c r="U24" s="1"/>
  <c r="W8"/>
  <c r="W10" s="1"/>
  <c r="E8" i="98"/>
  <c r="E10" s="1"/>
  <c r="E23" s="1"/>
  <c r="E24" s="1"/>
  <c r="G8"/>
  <c r="G10" s="1"/>
  <c r="G23" s="1"/>
  <c r="G24" s="1"/>
  <c r="I8"/>
  <c r="I10" s="1"/>
  <c r="I23" s="1"/>
  <c r="I24" s="1"/>
  <c r="K8"/>
  <c r="K10" s="1"/>
  <c r="K23" s="1"/>
  <c r="K24" s="1"/>
  <c r="M8"/>
  <c r="M10" s="1"/>
  <c r="M23" s="1"/>
  <c r="M24" s="1"/>
  <c r="O8"/>
  <c r="O10" s="1"/>
  <c r="O23" s="1"/>
  <c r="O24" s="1"/>
  <c r="Q8"/>
  <c r="Q10" s="1"/>
  <c r="Q23" s="1"/>
  <c r="Q24" s="1"/>
  <c r="S8"/>
  <c r="S10" s="1"/>
  <c r="S23" s="1"/>
  <c r="S24" s="1"/>
  <c r="U8"/>
  <c r="U10" s="1"/>
  <c r="U23" s="1"/>
  <c r="U24" s="1"/>
  <c r="W8"/>
  <c r="W10" s="1"/>
  <c r="F8"/>
  <c r="F10" s="1"/>
  <c r="F23" s="1"/>
  <c r="F24" s="1"/>
  <c r="H8"/>
  <c r="H10" s="1"/>
  <c r="H23" s="1"/>
  <c r="H24" s="1"/>
  <c r="J8"/>
  <c r="J10" s="1"/>
  <c r="J23" s="1"/>
  <c r="J24" s="1"/>
  <c r="L8"/>
  <c r="L10" s="1"/>
  <c r="L23" s="1"/>
  <c r="L24" s="1"/>
  <c r="N8"/>
  <c r="N10" s="1"/>
  <c r="N23" s="1"/>
  <c r="N24" s="1"/>
  <c r="P8"/>
  <c r="P10" s="1"/>
  <c r="P23" s="1"/>
  <c r="P24" s="1"/>
  <c r="R8"/>
  <c r="R10" s="1"/>
  <c r="R23" s="1"/>
  <c r="R24" s="1"/>
  <c r="T8"/>
  <c r="T10" s="1"/>
  <c r="T23" s="1"/>
  <c r="T24" s="1"/>
  <c r="V8"/>
  <c r="V10" s="1"/>
  <c r="V23" s="1"/>
  <c r="D8"/>
  <c r="D10" s="1"/>
  <c r="D23" s="1"/>
  <c r="D24" s="1"/>
  <c r="F8" i="5"/>
  <c r="H8"/>
  <c r="J8"/>
  <c r="L8"/>
  <c r="N8"/>
  <c r="P8"/>
  <c r="R8"/>
  <c r="T8"/>
  <c r="V8"/>
  <c r="E8"/>
  <c r="G8"/>
  <c r="I8"/>
  <c r="K8"/>
  <c r="M8"/>
  <c r="O8"/>
  <c r="Q8"/>
  <c r="S8"/>
  <c r="U8"/>
  <c r="W8"/>
  <c r="D8"/>
  <c r="D20" i="78"/>
  <c r="E10" i="114" s="1"/>
  <c r="T27" i="92"/>
  <c r="C14" s="1"/>
  <c r="D21" i="78"/>
  <c r="E11" i="114" s="1"/>
  <c r="Q27" i="93"/>
  <c r="C13" s="1"/>
  <c r="T27"/>
  <c r="C14" s="1"/>
  <c r="G10" i="95"/>
  <c r="G23" s="1"/>
  <c r="G24" s="1"/>
  <c r="C10"/>
  <c r="B27" i="78" s="1"/>
  <c r="B7" i="112" s="1"/>
  <c r="K10" i="95"/>
  <c r="K23" s="1"/>
  <c r="K24" s="1"/>
  <c r="H10" i="96"/>
  <c r="H23" s="1"/>
  <c r="H24" s="1"/>
  <c r="C10"/>
  <c r="B28" i="78" s="1"/>
  <c r="B11" i="112" s="1"/>
  <c r="Q10" i="96"/>
  <c r="Q23" s="1"/>
  <c r="Q24" s="1"/>
  <c r="C10" i="99"/>
  <c r="B34" i="78" s="1"/>
  <c r="B11" i="113" s="1"/>
  <c r="D17" i="78"/>
  <c r="E6" i="114" s="1"/>
  <c r="Q27" i="90"/>
  <c r="C13" s="1"/>
  <c r="T27"/>
  <c r="C14" s="1"/>
  <c r="C10" i="98"/>
  <c r="D135" i="40"/>
  <c r="F135" s="1"/>
  <c r="F137" s="1"/>
  <c r="C4" i="57" s="1"/>
  <c r="X21" s="1"/>
  <c r="D135" i="74"/>
  <c r="F135" s="1"/>
  <c r="F137" s="1"/>
  <c r="C4" i="58" s="1"/>
  <c r="X21" s="1"/>
  <c r="C24" i="117" l="1"/>
  <c r="C25"/>
  <c r="H31"/>
  <c r="I35" i="78" s="1"/>
  <c r="X22" i="98"/>
  <c r="W19"/>
  <c r="W20" s="1"/>
  <c r="W23" s="1"/>
  <c r="W24" s="1"/>
  <c r="V23" i="99"/>
  <c r="W19" s="1"/>
  <c r="W20" s="1"/>
  <c r="W23" s="1"/>
  <c r="W24" s="1"/>
  <c r="X22" i="96"/>
  <c r="W19"/>
  <c r="X22" i="95"/>
  <c r="W19"/>
  <c r="X22" i="93"/>
  <c r="W19"/>
  <c r="X22" i="92"/>
  <c r="W19"/>
  <c r="X22" i="90"/>
  <c r="W19"/>
  <c r="V24" i="93"/>
  <c r="W20"/>
  <c r="W23" s="1"/>
  <c r="W24" s="1"/>
  <c r="V24" i="96"/>
  <c r="W20"/>
  <c r="W23" s="1"/>
  <c r="W24" s="1"/>
  <c r="V24" i="95"/>
  <c r="W20"/>
  <c r="W23" s="1"/>
  <c r="W24" s="1"/>
  <c r="V24" i="98"/>
  <c r="V24" i="92"/>
  <c r="W20"/>
  <c r="W23" s="1"/>
  <c r="W24" s="1"/>
  <c r="V24" i="90"/>
  <c r="W20"/>
  <c r="W23" s="1"/>
  <c r="W24" s="1"/>
  <c r="C20" i="93"/>
  <c r="C23" s="1"/>
  <c r="B33" i="78"/>
  <c r="B7" i="113" s="1"/>
  <c r="C20" i="90"/>
  <c r="C23" s="1"/>
  <c r="Q27" i="95"/>
  <c r="D27" i="78"/>
  <c r="D7" i="112" s="1"/>
  <c r="Q25" i="117" l="1"/>
  <c r="I25"/>
  <c r="T25"/>
  <c r="L25"/>
  <c r="D25"/>
  <c r="S25"/>
  <c r="K25"/>
  <c r="V25"/>
  <c r="N25"/>
  <c r="F25"/>
  <c r="U25"/>
  <c r="M25"/>
  <c r="E25"/>
  <c r="P25"/>
  <c r="H25"/>
  <c r="W25"/>
  <c r="K31" s="1"/>
  <c r="J35" i="78" s="1"/>
  <c r="O25" i="117"/>
  <c r="G25"/>
  <c r="R25"/>
  <c r="J25"/>
  <c r="V24" i="99"/>
  <c r="X22"/>
  <c r="C24" i="93"/>
  <c r="R25" s="1"/>
  <c r="H31"/>
  <c r="I21" i="78" s="1"/>
  <c r="F11" i="114" s="1"/>
  <c r="H31" i="90"/>
  <c r="I17" i="78" s="1"/>
  <c r="F6" i="114" s="1"/>
  <c r="E7" i="57"/>
  <c r="G7"/>
  <c r="I7"/>
  <c r="K7"/>
  <c r="M7"/>
  <c r="O7"/>
  <c r="Q7"/>
  <c r="S7"/>
  <c r="U7"/>
  <c r="W7"/>
  <c r="F7"/>
  <c r="H7"/>
  <c r="J7"/>
  <c r="L7"/>
  <c r="N7"/>
  <c r="P7"/>
  <c r="R7"/>
  <c r="T7"/>
  <c r="V7"/>
  <c r="D7"/>
  <c r="F7" i="58"/>
  <c r="H7"/>
  <c r="J7"/>
  <c r="L7"/>
  <c r="N7"/>
  <c r="P7"/>
  <c r="R7"/>
  <c r="T7"/>
  <c r="V7"/>
  <c r="D7"/>
  <c r="E7"/>
  <c r="G7"/>
  <c r="I7"/>
  <c r="K7"/>
  <c r="M7"/>
  <c r="O7"/>
  <c r="Q7"/>
  <c r="S7"/>
  <c r="U7"/>
  <c r="W7"/>
  <c r="C25" i="93"/>
  <c r="F8" i="58"/>
  <c r="H8"/>
  <c r="J8"/>
  <c r="L8"/>
  <c r="N8"/>
  <c r="P8"/>
  <c r="R8"/>
  <c r="T8"/>
  <c r="V8"/>
  <c r="E8"/>
  <c r="G8"/>
  <c r="I8"/>
  <c r="K8"/>
  <c r="M8"/>
  <c r="O8"/>
  <c r="Q8"/>
  <c r="S8"/>
  <c r="S10" s="1"/>
  <c r="S23" s="1"/>
  <c r="S24" s="1"/>
  <c r="U8"/>
  <c r="W8"/>
  <c r="D8"/>
  <c r="F8" i="94"/>
  <c r="F10" s="1"/>
  <c r="F23" s="1"/>
  <c r="F24" s="1"/>
  <c r="H8"/>
  <c r="H10" s="1"/>
  <c r="H23" s="1"/>
  <c r="H24" s="1"/>
  <c r="J8"/>
  <c r="J10" s="1"/>
  <c r="J23" s="1"/>
  <c r="J24" s="1"/>
  <c r="L8"/>
  <c r="L10" s="1"/>
  <c r="L23" s="1"/>
  <c r="L24" s="1"/>
  <c r="N8"/>
  <c r="P8"/>
  <c r="P10" s="1"/>
  <c r="P23" s="1"/>
  <c r="P24" s="1"/>
  <c r="R8"/>
  <c r="R10" s="1"/>
  <c r="R23" s="1"/>
  <c r="R24" s="1"/>
  <c r="T8"/>
  <c r="T10" s="1"/>
  <c r="T23" s="1"/>
  <c r="T24" s="1"/>
  <c r="V8"/>
  <c r="V10" s="1"/>
  <c r="V23" s="1"/>
  <c r="E8"/>
  <c r="E10" s="1"/>
  <c r="E23" s="1"/>
  <c r="E24" s="1"/>
  <c r="G8"/>
  <c r="G10" s="1"/>
  <c r="G23" s="1"/>
  <c r="G24" s="1"/>
  <c r="I8"/>
  <c r="I10" s="1"/>
  <c r="I23" s="1"/>
  <c r="I24" s="1"/>
  <c r="K8"/>
  <c r="K10" s="1"/>
  <c r="K23" s="1"/>
  <c r="K24" s="1"/>
  <c r="M8"/>
  <c r="M10" s="1"/>
  <c r="M23" s="1"/>
  <c r="M24" s="1"/>
  <c r="O8"/>
  <c r="O10" s="1"/>
  <c r="O23" s="1"/>
  <c r="O24" s="1"/>
  <c r="Q8"/>
  <c r="Q10" s="1"/>
  <c r="Q23" s="1"/>
  <c r="Q24" s="1"/>
  <c r="S8"/>
  <c r="S10" s="1"/>
  <c r="S23" s="1"/>
  <c r="S24" s="1"/>
  <c r="U8"/>
  <c r="U10" s="1"/>
  <c r="U23" s="1"/>
  <c r="U24" s="1"/>
  <c r="W8"/>
  <c r="W10" s="1"/>
  <c r="D8"/>
  <c r="D10" s="1"/>
  <c r="D23" s="1"/>
  <c r="D24" s="1"/>
  <c r="F8" i="57"/>
  <c r="H8"/>
  <c r="J8"/>
  <c r="L8"/>
  <c r="N8"/>
  <c r="P8"/>
  <c r="R8"/>
  <c r="T8"/>
  <c r="V8"/>
  <c r="E8"/>
  <c r="G8"/>
  <c r="I8"/>
  <c r="K8"/>
  <c r="M8"/>
  <c r="O8"/>
  <c r="Q8"/>
  <c r="S8"/>
  <c r="U8"/>
  <c r="W8"/>
  <c r="D8"/>
  <c r="F8" i="97"/>
  <c r="F10" s="1"/>
  <c r="F23" s="1"/>
  <c r="F24" s="1"/>
  <c r="H8"/>
  <c r="H10" s="1"/>
  <c r="H23" s="1"/>
  <c r="H24" s="1"/>
  <c r="J8"/>
  <c r="J10" s="1"/>
  <c r="J23" s="1"/>
  <c r="J24" s="1"/>
  <c r="L8"/>
  <c r="L10" s="1"/>
  <c r="L23" s="1"/>
  <c r="L24" s="1"/>
  <c r="N8"/>
  <c r="N10" s="1"/>
  <c r="N23" s="1"/>
  <c r="N24" s="1"/>
  <c r="P8"/>
  <c r="P10" s="1"/>
  <c r="P23" s="1"/>
  <c r="P24" s="1"/>
  <c r="R8"/>
  <c r="R10" s="1"/>
  <c r="R23" s="1"/>
  <c r="R24" s="1"/>
  <c r="T8"/>
  <c r="T10" s="1"/>
  <c r="T23" s="1"/>
  <c r="T24" s="1"/>
  <c r="V8"/>
  <c r="E8"/>
  <c r="E10" s="1"/>
  <c r="E23" s="1"/>
  <c r="E24" s="1"/>
  <c r="G8"/>
  <c r="G10" s="1"/>
  <c r="G23" s="1"/>
  <c r="G24" s="1"/>
  <c r="I8"/>
  <c r="I10" s="1"/>
  <c r="I23" s="1"/>
  <c r="I24" s="1"/>
  <c r="K8"/>
  <c r="K10" s="1"/>
  <c r="K23" s="1"/>
  <c r="K24" s="1"/>
  <c r="M8"/>
  <c r="M10" s="1"/>
  <c r="M23" s="1"/>
  <c r="M24" s="1"/>
  <c r="O8"/>
  <c r="Q8"/>
  <c r="Q10" s="1"/>
  <c r="Q23" s="1"/>
  <c r="Q24" s="1"/>
  <c r="S8"/>
  <c r="S10" s="1"/>
  <c r="S23" s="1"/>
  <c r="S24" s="1"/>
  <c r="U8"/>
  <c r="U10" s="1"/>
  <c r="U23" s="1"/>
  <c r="U24" s="1"/>
  <c r="W8"/>
  <c r="W10" s="1"/>
  <c r="D8"/>
  <c r="D10" s="1"/>
  <c r="D23" s="1"/>
  <c r="D24" s="1"/>
  <c r="C24" i="90"/>
  <c r="C25"/>
  <c r="T27" i="99"/>
  <c r="Q27"/>
  <c r="D34" i="78"/>
  <c r="D11" i="113" s="1"/>
  <c r="D25" i="93"/>
  <c r="T27" i="98"/>
  <c r="D33" i="78"/>
  <c r="D7" i="113" s="1"/>
  <c r="Q27" i="98"/>
  <c r="V10" i="97"/>
  <c r="V23" s="1"/>
  <c r="W19" s="1"/>
  <c r="C10"/>
  <c r="B32" i="78" s="1"/>
  <c r="B6" i="113" s="1"/>
  <c r="O10" i="97"/>
  <c r="O23" s="1"/>
  <c r="O24" s="1"/>
  <c r="C10" i="94"/>
  <c r="B26" i="78" s="1"/>
  <c r="B6" i="112" s="1"/>
  <c r="N10" i="94"/>
  <c r="N23" s="1"/>
  <c r="N24" s="1"/>
  <c r="G10" i="75"/>
  <c r="G23" s="1"/>
  <c r="G24" s="1"/>
  <c r="K10"/>
  <c r="K23" s="1"/>
  <c r="K24" s="1"/>
  <c r="O10"/>
  <c r="O23" s="1"/>
  <c r="O24" s="1"/>
  <c r="S10"/>
  <c r="S23" s="1"/>
  <c r="S24" s="1"/>
  <c r="W10"/>
  <c r="F10"/>
  <c r="F23" s="1"/>
  <c r="F24" s="1"/>
  <c r="J10"/>
  <c r="J23" s="1"/>
  <c r="J24" s="1"/>
  <c r="N10"/>
  <c r="N23" s="1"/>
  <c r="N24" s="1"/>
  <c r="R10"/>
  <c r="R23" s="1"/>
  <c r="R24" s="1"/>
  <c r="V10"/>
  <c r="V23" s="1"/>
  <c r="E10"/>
  <c r="E23" s="1"/>
  <c r="E24" s="1"/>
  <c r="I10"/>
  <c r="I23" s="1"/>
  <c r="I24" s="1"/>
  <c r="M10"/>
  <c r="M23" s="1"/>
  <c r="M24" s="1"/>
  <c r="Q10"/>
  <c r="Q23" s="1"/>
  <c r="Q24" s="1"/>
  <c r="U10"/>
  <c r="U23" s="1"/>
  <c r="U24" s="1"/>
  <c r="D10"/>
  <c r="D23" s="1"/>
  <c r="D24" s="1"/>
  <c r="H10"/>
  <c r="H23" s="1"/>
  <c r="H24" s="1"/>
  <c r="L10"/>
  <c r="L23" s="1"/>
  <c r="L24" s="1"/>
  <c r="P10"/>
  <c r="P23" s="1"/>
  <c r="P24" s="1"/>
  <c r="T10"/>
  <c r="T23" s="1"/>
  <c r="T24" s="1"/>
  <c r="C10"/>
  <c r="B19" i="78" s="1"/>
  <c r="C13" i="76"/>
  <c r="C20" s="1"/>
  <c r="E10"/>
  <c r="E23" s="1"/>
  <c r="E24" s="1"/>
  <c r="I10"/>
  <c r="I23" s="1"/>
  <c r="I24" s="1"/>
  <c r="M10"/>
  <c r="M23" s="1"/>
  <c r="M24" s="1"/>
  <c r="Q10"/>
  <c r="Q23" s="1"/>
  <c r="Q24" s="1"/>
  <c r="U10"/>
  <c r="U23" s="1"/>
  <c r="U24" s="1"/>
  <c r="F10"/>
  <c r="F23" s="1"/>
  <c r="F24" s="1"/>
  <c r="J10"/>
  <c r="J23" s="1"/>
  <c r="J24" s="1"/>
  <c r="N10"/>
  <c r="N23" s="1"/>
  <c r="N24" s="1"/>
  <c r="R10"/>
  <c r="R23" s="1"/>
  <c r="R24" s="1"/>
  <c r="V10"/>
  <c r="V23" s="1"/>
  <c r="G10"/>
  <c r="G23" s="1"/>
  <c r="G24" s="1"/>
  <c r="K10"/>
  <c r="K23" s="1"/>
  <c r="K24" s="1"/>
  <c r="O10"/>
  <c r="O23" s="1"/>
  <c r="O24" s="1"/>
  <c r="S10"/>
  <c r="S23" s="1"/>
  <c r="S24" s="1"/>
  <c r="W10"/>
  <c r="D10"/>
  <c r="D23" s="1"/>
  <c r="D24" s="1"/>
  <c r="H10"/>
  <c r="H23" s="1"/>
  <c r="H24" s="1"/>
  <c r="L10"/>
  <c r="L23" s="1"/>
  <c r="L24" s="1"/>
  <c r="P10"/>
  <c r="P23" s="1"/>
  <c r="P24" s="1"/>
  <c r="T10"/>
  <c r="T23" s="1"/>
  <c r="T24" s="1"/>
  <c r="C10"/>
  <c r="B22" i="78" s="1"/>
  <c r="H10" i="62"/>
  <c r="H23" s="1"/>
  <c r="H24" s="1"/>
  <c r="M10"/>
  <c r="M23" s="1"/>
  <c r="M24" s="1"/>
  <c r="W10"/>
  <c r="U10"/>
  <c r="U23" s="1"/>
  <c r="U24" s="1"/>
  <c r="F10"/>
  <c r="F23" s="1"/>
  <c r="F24" s="1"/>
  <c r="K10"/>
  <c r="O10"/>
  <c r="O23" s="1"/>
  <c r="O24" s="1"/>
  <c r="V10"/>
  <c r="V23" s="1"/>
  <c r="D10"/>
  <c r="D23" s="1"/>
  <c r="D24" s="1"/>
  <c r="Q10"/>
  <c r="Q23" s="1"/>
  <c r="Q24" s="1"/>
  <c r="R10"/>
  <c r="R23" s="1"/>
  <c r="R24" s="1"/>
  <c r="G10"/>
  <c r="G23" s="1"/>
  <c r="G24" s="1"/>
  <c r="S10"/>
  <c r="S23" s="1"/>
  <c r="S24" s="1"/>
  <c r="E10"/>
  <c r="E23" s="1"/>
  <c r="E24" s="1"/>
  <c r="P10"/>
  <c r="P23" s="1"/>
  <c r="P24" s="1"/>
  <c r="L10"/>
  <c r="L23" s="1"/>
  <c r="L24" s="1"/>
  <c r="C10"/>
  <c r="B18" i="78" s="1"/>
  <c r="I10" i="62"/>
  <c r="I23" s="1"/>
  <c r="I24" s="1"/>
  <c r="T10"/>
  <c r="T23" s="1"/>
  <c r="T24" s="1"/>
  <c r="N10"/>
  <c r="N23" s="1"/>
  <c r="N24" s="1"/>
  <c r="J10"/>
  <c r="C10" i="58"/>
  <c r="B15" i="78" s="1"/>
  <c r="J10" i="5"/>
  <c r="F10"/>
  <c r="F23" s="1"/>
  <c r="F24" s="1"/>
  <c r="P10"/>
  <c r="P23" s="1"/>
  <c r="P24" s="1"/>
  <c r="U10"/>
  <c r="U23" s="1"/>
  <c r="U24" s="1"/>
  <c r="K10"/>
  <c r="V10"/>
  <c r="V23" s="1"/>
  <c r="L10"/>
  <c r="L23" s="1"/>
  <c r="L24" s="1"/>
  <c r="G10"/>
  <c r="G23" s="1"/>
  <c r="G24" s="1"/>
  <c r="D10"/>
  <c r="D23" s="1"/>
  <c r="D24" s="1"/>
  <c r="O10"/>
  <c r="O23" s="1"/>
  <c r="O24" s="1"/>
  <c r="I10"/>
  <c r="I23" s="1"/>
  <c r="I24" s="1"/>
  <c r="S10"/>
  <c r="S23" s="1"/>
  <c r="S24" s="1"/>
  <c r="R10"/>
  <c r="R23" s="1"/>
  <c r="R24" s="1"/>
  <c r="H10"/>
  <c r="H23" s="1"/>
  <c r="H24" s="1"/>
  <c r="Q10"/>
  <c r="Q23" s="1"/>
  <c r="Q24" s="1"/>
  <c r="N10"/>
  <c r="N23" s="1"/>
  <c r="N24" s="1"/>
  <c r="C10"/>
  <c r="E10"/>
  <c r="E23" s="1"/>
  <c r="E24" s="1"/>
  <c r="M10"/>
  <c r="M23" s="1"/>
  <c r="M24" s="1"/>
  <c r="W10"/>
  <c r="T10"/>
  <c r="T23" s="1"/>
  <c r="T24" s="1"/>
  <c r="K10" i="57"/>
  <c r="C10"/>
  <c r="E25" i="93" l="1"/>
  <c r="S25"/>
  <c r="P25"/>
  <c r="Q31" i="117"/>
  <c r="D18" i="78"/>
  <c r="Q27" i="62"/>
  <c r="B10" i="113"/>
  <c r="B10" i="112"/>
  <c r="T27" i="62"/>
  <c r="B10" i="110"/>
  <c r="X22" i="76"/>
  <c r="W19"/>
  <c r="X22" i="94"/>
  <c r="W19"/>
  <c r="X22" i="62"/>
  <c r="W19"/>
  <c r="W20" s="1"/>
  <c r="W23" s="1"/>
  <c r="W24" s="1"/>
  <c r="D22" i="78"/>
  <c r="B15" i="113"/>
  <c r="B14" i="112"/>
  <c r="B14" i="110"/>
  <c r="X22" i="75"/>
  <c r="W19"/>
  <c r="W20" s="1"/>
  <c r="W23" s="1"/>
  <c r="W24" s="1"/>
  <c r="B9" i="114"/>
  <c r="B11" i="110"/>
  <c r="X22" i="5"/>
  <c r="W19"/>
  <c r="T27" i="58"/>
  <c r="Q27"/>
  <c r="B6" i="110"/>
  <c r="D15" i="78"/>
  <c r="D6" i="110" s="1"/>
  <c r="S10" i="57"/>
  <c r="S23" s="1"/>
  <c r="S24" s="1"/>
  <c r="O10"/>
  <c r="O23" s="1"/>
  <c r="O24" s="1"/>
  <c r="I25" i="93"/>
  <c r="T25"/>
  <c r="N25"/>
  <c r="U25"/>
  <c r="J25"/>
  <c r="O25"/>
  <c r="X22" i="97"/>
  <c r="W20"/>
  <c r="W23" s="1"/>
  <c r="W24" s="1"/>
  <c r="H10" i="58"/>
  <c r="H23" s="1"/>
  <c r="H24" s="1"/>
  <c r="U10"/>
  <c r="U23" s="1"/>
  <c r="U24" s="1"/>
  <c r="M10"/>
  <c r="M23" s="1"/>
  <c r="M24" s="1"/>
  <c r="R10"/>
  <c r="R23" s="1"/>
  <c r="R24" s="1"/>
  <c r="J10"/>
  <c r="J23" s="1"/>
  <c r="J24" s="1"/>
  <c r="W10"/>
  <c r="O10"/>
  <c r="O23" s="1"/>
  <c r="O24" s="1"/>
  <c r="K10"/>
  <c r="K23" s="1"/>
  <c r="K24" s="1"/>
  <c r="G10"/>
  <c r="G23" s="1"/>
  <c r="G24" s="1"/>
  <c r="H10" i="57"/>
  <c r="H23" s="1"/>
  <c r="H24" s="1"/>
  <c r="W10"/>
  <c r="G10"/>
  <c r="G23" s="1"/>
  <c r="G24" s="1"/>
  <c r="Q25" i="93"/>
  <c r="L25"/>
  <c r="K25"/>
  <c r="F25"/>
  <c r="V25"/>
  <c r="M25"/>
  <c r="H25"/>
  <c r="G25"/>
  <c r="W25"/>
  <c r="K31" s="1"/>
  <c r="J21" i="78" s="1"/>
  <c r="G11" i="114" s="1"/>
  <c r="T10" i="57"/>
  <c r="T23" s="1"/>
  <c r="T24" s="1"/>
  <c r="P10"/>
  <c r="P23" s="1"/>
  <c r="P24" s="1"/>
  <c r="T10" i="58"/>
  <c r="T23" s="1"/>
  <c r="T24" s="1"/>
  <c r="I10"/>
  <c r="I23" s="1"/>
  <c r="I24" s="1"/>
  <c r="N10"/>
  <c r="N23" s="1"/>
  <c r="N24" s="1"/>
  <c r="V10" i="57"/>
  <c r="V23" s="1"/>
  <c r="R10"/>
  <c r="R23" s="1"/>
  <c r="R24" s="1"/>
  <c r="J10"/>
  <c r="F10"/>
  <c r="F23" s="1"/>
  <c r="F24" s="1"/>
  <c r="U10"/>
  <c r="U23" s="1"/>
  <c r="U24" s="1"/>
  <c r="Q10"/>
  <c r="Q23" s="1"/>
  <c r="Q24" s="1"/>
  <c r="V24" i="76"/>
  <c r="W20"/>
  <c r="W23" s="1"/>
  <c r="W24" s="1"/>
  <c r="D10" i="58"/>
  <c r="D23" s="1"/>
  <c r="D24" s="1"/>
  <c r="P10"/>
  <c r="P23" s="1"/>
  <c r="P24" s="1"/>
  <c r="L10"/>
  <c r="L23" s="1"/>
  <c r="L24" s="1"/>
  <c r="V24" i="62"/>
  <c r="V24" i="97"/>
  <c r="V24" i="94"/>
  <c r="W20"/>
  <c r="W23" s="1"/>
  <c r="W24" s="1"/>
  <c r="V24" i="5"/>
  <c r="W20"/>
  <c r="W23" s="1"/>
  <c r="W24" s="1"/>
  <c r="V24" i="75"/>
  <c r="Q10" i="58"/>
  <c r="Q23" s="1"/>
  <c r="Q24" s="1"/>
  <c r="E10"/>
  <c r="E23" s="1"/>
  <c r="E24" s="1"/>
  <c r="V10"/>
  <c r="V23" s="1"/>
  <c r="F10"/>
  <c r="F23" s="1"/>
  <c r="F24" s="1"/>
  <c r="L10" i="57"/>
  <c r="L23" s="1"/>
  <c r="L24" s="1"/>
  <c r="D10"/>
  <c r="D23" s="1"/>
  <c r="D24" s="1"/>
  <c r="N10"/>
  <c r="N23" s="1"/>
  <c r="N24" s="1"/>
  <c r="M10"/>
  <c r="M23" s="1"/>
  <c r="M24" s="1"/>
  <c r="I10"/>
  <c r="I23" s="1"/>
  <c r="I24" s="1"/>
  <c r="E10"/>
  <c r="E23" s="1"/>
  <c r="E24" s="1"/>
  <c r="T27" i="94"/>
  <c r="Q27"/>
  <c r="D26" i="78"/>
  <c r="D6" i="112" s="1"/>
  <c r="K25" i="90"/>
  <c r="N25"/>
  <c r="U25"/>
  <c r="M25"/>
  <c r="E25"/>
  <c r="P25"/>
  <c r="H25"/>
  <c r="S25"/>
  <c r="G25"/>
  <c r="J25"/>
  <c r="W25"/>
  <c r="K31" s="1"/>
  <c r="J17" i="78" s="1"/>
  <c r="G6" i="114" s="1"/>
  <c r="V25" i="90"/>
  <c r="F25"/>
  <c r="Q25"/>
  <c r="I25"/>
  <c r="T25"/>
  <c r="L25"/>
  <c r="D25"/>
  <c r="O25"/>
  <c r="R25"/>
  <c r="Q27" i="96"/>
  <c r="C13" s="1"/>
  <c r="T27"/>
  <c r="C14" s="1"/>
  <c r="D28" i="78"/>
  <c r="D11" i="112" s="1"/>
  <c r="T27" i="97"/>
  <c r="Q27"/>
  <c r="D32" i="78"/>
  <c r="D6" i="113" s="1"/>
  <c r="C14" i="99"/>
  <c r="C13"/>
  <c r="D19" i="78"/>
  <c r="Q27" i="75"/>
  <c r="C13" s="1"/>
  <c r="C13" i="92"/>
  <c r="C20" s="1"/>
  <c r="C23" s="1"/>
  <c r="H31" s="1"/>
  <c r="T27" i="75"/>
  <c r="C14" s="1"/>
  <c r="C23" i="76"/>
  <c r="J23" i="57"/>
  <c r="J24" s="1"/>
  <c r="K23"/>
  <c r="K24" s="1"/>
  <c r="K23" i="5"/>
  <c r="K24" s="1"/>
  <c r="J23"/>
  <c r="J24" s="1"/>
  <c r="K23" i="62"/>
  <c r="K24" s="1"/>
  <c r="J23"/>
  <c r="J24" s="1"/>
  <c r="B16" i="78"/>
  <c r="B14"/>
  <c r="W19" i="57" l="1"/>
  <c r="W20" s="1"/>
  <c r="W23" s="1"/>
  <c r="W24" s="1"/>
  <c r="D15" i="113"/>
  <c r="D14" i="112"/>
  <c r="D14" i="110"/>
  <c r="D10"/>
  <c r="D10" i="113"/>
  <c r="D10" i="112"/>
  <c r="B5" i="113"/>
  <c r="B5" i="112"/>
  <c r="B5" i="110"/>
  <c r="D11"/>
  <c r="E9" i="114"/>
  <c r="B7" i="110"/>
  <c r="B5" i="114"/>
  <c r="X22" i="58"/>
  <c r="W19"/>
  <c r="W20" s="1"/>
  <c r="W23" s="1"/>
  <c r="W24" s="1"/>
  <c r="Q31" i="93"/>
  <c r="V24" i="57"/>
  <c r="X22"/>
  <c r="C25" i="76"/>
  <c r="H31"/>
  <c r="I22" i="78" s="1"/>
  <c r="V24" i="58"/>
  <c r="C24" i="76"/>
  <c r="H25" s="1"/>
  <c r="C20" i="99"/>
  <c r="C23" s="1"/>
  <c r="Q31" i="90"/>
  <c r="C14" i="97"/>
  <c r="C13" i="94"/>
  <c r="C13" i="97"/>
  <c r="C14" i="94"/>
  <c r="C13" i="98"/>
  <c r="C13" i="95"/>
  <c r="C14" i="98"/>
  <c r="T27" i="95"/>
  <c r="C14" s="1"/>
  <c r="C20" i="96"/>
  <c r="C23" s="1"/>
  <c r="H31" s="1"/>
  <c r="C14" i="62"/>
  <c r="C13"/>
  <c r="C24" i="92"/>
  <c r="I20" i="78"/>
  <c r="F10" i="114" s="1"/>
  <c r="C25" i="92"/>
  <c r="C14" i="58"/>
  <c r="C13"/>
  <c r="D14" i="78"/>
  <c r="T27" i="57"/>
  <c r="C14" s="1"/>
  <c r="Q27"/>
  <c r="C13" s="1"/>
  <c r="D16" i="78"/>
  <c r="T27" i="5"/>
  <c r="C14" s="1"/>
  <c r="Q27"/>
  <c r="C13" s="1"/>
  <c r="C20" i="75"/>
  <c r="C23" s="1"/>
  <c r="T25" i="76"/>
  <c r="U25"/>
  <c r="I25"/>
  <c r="N25"/>
  <c r="S25"/>
  <c r="K25"/>
  <c r="O25" l="1"/>
  <c r="J25"/>
  <c r="V25"/>
  <c r="Q25"/>
  <c r="P25"/>
  <c r="D5" i="113"/>
  <c r="D5" i="112"/>
  <c r="D5" i="110"/>
  <c r="E5" i="114"/>
  <c r="D7" i="110"/>
  <c r="E15" i="113"/>
  <c r="E14" i="112"/>
  <c r="E14" i="110"/>
  <c r="C20" i="97"/>
  <c r="C23" s="1"/>
  <c r="H31" s="1"/>
  <c r="I32" i="78" s="1"/>
  <c r="E6" i="113" s="1"/>
  <c r="F25" i="76"/>
  <c r="E25"/>
  <c r="D25"/>
  <c r="L25"/>
  <c r="G25"/>
  <c r="W25"/>
  <c r="K31" s="1"/>
  <c r="J22" i="78" s="1"/>
  <c r="R25" i="76"/>
  <c r="M25"/>
  <c r="C24" i="99"/>
  <c r="Q25" s="1"/>
  <c r="H31"/>
  <c r="I34" i="78" s="1"/>
  <c r="E11" i="113" s="1"/>
  <c r="C25" i="75"/>
  <c r="H31"/>
  <c r="I19" i="78" s="1"/>
  <c r="F9" i="114" s="1"/>
  <c r="C25" i="99"/>
  <c r="C20" i="5"/>
  <c r="C20" i="58"/>
  <c r="C20" i="62"/>
  <c r="C23" s="1"/>
  <c r="H31" s="1"/>
  <c r="I18" i="78" s="1"/>
  <c r="C20" i="95"/>
  <c r="C23" s="1"/>
  <c r="H31" s="1"/>
  <c r="C20" i="94"/>
  <c r="C23" s="1"/>
  <c r="H31" s="1"/>
  <c r="C25" i="96"/>
  <c r="C24"/>
  <c r="I28" i="78"/>
  <c r="E25" i="99"/>
  <c r="V25"/>
  <c r="C20" i="98"/>
  <c r="C23" s="1"/>
  <c r="H31" s="1"/>
  <c r="C24" i="75"/>
  <c r="V25" i="92"/>
  <c r="R25"/>
  <c r="N25"/>
  <c r="J25"/>
  <c r="F25"/>
  <c r="W25"/>
  <c r="K31" s="1"/>
  <c r="J20" i="78" s="1"/>
  <c r="G10" i="114" s="1"/>
  <c r="S25" i="92"/>
  <c r="O25"/>
  <c r="K25"/>
  <c r="G25"/>
  <c r="T25"/>
  <c r="P25"/>
  <c r="L25"/>
  <c r="H25"/>
  <c r="D25"/>
  <c r="U25"/>
  <c r="Q25"/>
  <c r="M25"/>
  <c r="I25"/>
  <c r="E25"/>
  <c r="C20" i="57"/>
  <c r="C23" s="1"/>
  <c r="H31" s="1"/>
  <c r="I14" i="78" s="1"/>
  <c r="S25" i="99" l="1"/>
  <c r="U25"/>
  <c r="E5" i="113"/>
  <c r="E10"/>
  <c r="F15"/>
  <c r="E11" i="112"/>
  <c r="E5"/>
  <c r="E5" i="110"/>
  <c r="E10"/>
  <c r="E10" i="112"/>
  <c r="E11" i="110"/>
  <c r="Q31" i="76"/>
  <c r="F14" i="112"/>
  <c r="F14" i="110"/>
  <c r="W25" i="99"/>
  <c r="K31" s="1"/>
  <c r="J34" i="78" s="1"/>
  <c r="F11" i="113" s="1"/>
  <c r="R25" i="99"/>
  <c r="P25"/>
  <c r="J25"/>
  <c r="O25"/>
  <c r="L25"/>
  <c r="M25"/>
  <c r="F25"/>
  <c r="G25"/>
  <c r="H25"/>
  <c r="I25"/>
  <c r="N25"/>
  <c r="K25"/>
  <c r="D25"/>
  <c r="T25"/>
  <c r="C24" i="97"/>
  <c r="O25" s="1"/>
  <c r="C25"/>
  <c r="C23" i="5"/>
  <c r="C23" i="58"/>
  <c r="C25" s="1"/>
  <c r="Q31" i="92"/>
  <c r="C24" i="98"/>
  <c r="C25"/>
  <c r="I33" i="78"/>
  <c r="E7" i="113" s="1"/>
  <c r="W25" i="97"/>
  <c r="K31" s="1"/>
  <c r="J32" i="78" s="1"/>
  <c r="F6" i="113" s="1"/>
  <c r="C24" i="95"/>
  <c r="C25"/>
  <c r="W25" i="96"/>
  <c r="K31" s="1"/>
  <c r="J28" i="78" s="1"/>
  <c r="S25" i="96"/>
  <c r="O25"/>
  <c r="K25"/>
  <c r="G25"/>
  <c r="V25"/>
  <c r="R25"/>
  <c r="N25"/>
  <c r="J25"/>
  <c r="F25"/>
  <c r="U25"/>
  <c r="Q25"/>
  <c r="M25"/>
  <c r="I25"/>
  <c r="E25"/>
  <c r="T25"/>
  <c r="P25"/>
  <c r="L25"/>
  <c r="H25"/>
  <c r="D25"/>
  <c r="C25" i="94"/>
  <c r="C24"/>
  <c r="I26" i="78"/>
  <c r="C24" i="57"/>
  <c r="C25"/>
  <c r="R25" i="75"/>
  <c r="G25"/>
  <c r="P25"/>
  <c r="H25"/>
  <c r="U25"/>
  <c r="M25"/>
  <c r="E25"/>
  <c r="N25"/>
  <c r="F25"/>
  <c r="O25"/>
  <c r="W25"/>
  <c r="K31" s="1"/>
  <c r="J19" i="78" s="1"/>
  <c r="G9" i="114" s="1"/>
  <c r="T25" i="75"/>
  <c r="L25"/>
  <c r="D25"/>
  <c r="Q25"/>
  <c r="I25"/>
  <c r="V25"/>
  <c r="J25"/>
  <c r="S25"/>
  <c r="K25"/>
  <c r="C25" i="62"/>
  <c r="C24"/>
  <c r="Q25" i="97" l="1"/>
  <c r="P25"/>
  <c r="V25"/>
  <c r="D25"/>
  <c r="I25"/>
  <c r="J25"/>
  <c r="K25"/>
  <c r="E6" i="112"/>
  <c r="F11"/>
  <c r="F11" i="110"/>
  <c r="L25" i="97"/>
  <c r="T25"/>
  <c r="M25"/>
  <c r="F25"/>
  <c r="N25"/>
  <c r="G25"/>
  <c r="S25"/>
  <c r="Q31" i="99"/>
  <c r="H25" i="97"/>
  <c r="E25"/>
  <c r="U25"/>
  <c r="R25"/>
  <c r="C24" i="5"/>
  <c r="H31"/>
  <c r="I16" i="78" s="1"/>
  <c r="F5" i="114" s="1"/>
  <c r="C24" i="58"/>
  <c r="F25" s="1"/>
  <c r="H31"/>
  <c r="I15" i="78" s="1"/>
  <c r="C25" i="5"/>
  <c r="I27" i="78"/>
  <c r="Q31" i="96"/>
  <c r="S25" i="94"/>
  <c r="M25"/>
  <c r="I25"/>
  <c r="R25"/>
  <c r="H25"/>
  <c r="W25"/>
  <c r="K31" s="1"/>
  <c r="J26" i="78" s="1"/>
  <c r="O25" i="94"/>
  <c r="K25"/>
  <c r="G25"/>
  <c r="V25"/>
  <c r="N25"/>
  <c r="J25"/>
  <c r="F25"/>
  <c r="E25"/>
  <c r="L25"/>
  <c r="D25"/>
  <c r="T25"/>
  <c r="U25"/>
  <c r="P25"/>
  <c r="Q25"/>
  <c r="U25" i="98"/>
  <c r="Q25"/>
  <c r="M25"/>
  <c r="I25"/>
  <c r="E25"/>
  <c r="T25"/>
  <c r="P25"/>
  <c r="L25"/>
  <c r="H25"/>
  <c r="D25"/>
  <c r="W25"/>
  <c r="K31" s="1"/>
  <c r="J33" i="78" s="1"/>
  <c r="F7" i="113" s="1"/>
  <c r="S25" i="98"/>
  <c r="O25"/>
  <c r="K25"/>
  <c r="G25"/>
  <c r="V25"/>
  <c r="R25"/>
  <c r="N25"/>
  <c r="J25"/>
  <c r="F25"/>
  <c r="U25" i="95"/>
  <c r="M25"/>
  <c r="E25"/>
  <c r="P25"/>
  <c r="H25"/>
  <c r="W25"/>
  <c r="K31" s="1"/>
  <c r="S25"/>
  <c r="O25"/>
  <c r="K25"/>
  <c r="G25"/>
  <c r="V25"/>
  <c r="R25"/>
  <c r="N25"/>
  <c r="J25"/>
  <c r="F25"/>
  <c r="Q25"/>
  <c r="I25"/>
  <c r="T25"/>
  <c r="L25"/>
  <c r="D25"/>
  <c r="Q31" i="97"/>
  <c r="D25" i="62"/>
  <c r="S25"/>
  <c r="I25"/>
  <c r="H25"/>
  <c r="P25"/>
  <c r="L25"/>
  <c r="E25"/>
  <c r="N25"/>
  <c r="V25"/>
  <c r="F25"/>
  <c r="T25"/>
  <c r="U25"/>
  <c r="G25"/>
  <c r="W25"/>
  <c r="K31" s="1"/>
  <c r="J18" i="78" s="1"/>
  <c r="Q25" i="62"/>
  <c r="R25"/>
  <c r="K25"/>
  <c r="O25"/>
  <c r="M25"/>
  <c r="J25"/>
  <c r="P25" i="57"/>
  <c r="U25"/>
  <c r="J25"/>
  <c r="F25"/>
  <c r="L25"/>
  <c r="M25"/>
  <c r="H25"/>
  <c r="K25"/>
  <c r="T25"/>
  <c r="S25"/>
  <c r="D25"/>
  <c r="N25"/>
  <c r="V25"/>
  <c r="W25"/>
  <c r="K31" s="1"/>
  <c r="Q25"/>
  <c r="G25"/>
  <c r="E25"/>
  <c r="I25"/>
  <c r="R25"/>
  <c r="O25"/>
  <c r="V25" i="5"/>
  <c r="N25"/>
  <c r="O25"/>
  <c r="D25"/>
  <c r="J25"/>
  <c r="G25"/>
  <c r="M25"/>
  <c r="S25"/>
  <c r="F25"/>
  <c r="P25"/>
  <c r="L25"/>
  <c r="K25"/>
  <c r="H25"/>
  <c r="R25"/>
  <c r="T25"/>
  <c r="E25"/>
  <c r="I25"/>
  <c r="W25"/>
  <c r="K31" s="1"/>
  <c r="U25"/>
  <c r="Q25"/>
  <c r="V25" i="58"/>
  <c r="D25"/>
  <c r="R25"/>
  <c r="W25"/>
  <c r="K31" s="1"/>
  <c r="J15" i="78" s="1"/>
  <c r="H25" i="58"/>
  <c r="G25"/>
  <c r="S25"/>
  <c r="M25"/>
  <c r="L25"/>
  <c r="T25"/>
  <c r="Q31" i="75"/>
  <c r="F10" i="113" l="1"/>
  <c r="F6" i="112"/>
  <c r="E7"/>
  <c r="F6" i="110"/>
  <c r="F10"/>
  <c r="F10" i="112"/>
  <c r="E7" i="110"/>
  <c r="E6"/>
  <c r="K25" i="58"/>
  <c r="E25"/>
  <c r="O25"/>
  <c r="P25"/>
  <c r="U25"/>
  <c r="J25"/>
  <c r="N25"/>
  <c r="I25"/>
  <c r="Q25"/>
  <c r="J27" i="78"/>
  <c r="Q31" i="98"/>
  <c r="Q31" i="95"/>
  <c r="Q31" i="94"/>
  <c r="Q31" i="62"/>
  <c r="Q31" i="5"/>
  <c r="J16" i="78"/>
  <c r="G5" i="114" s="1"/>
  <c r="J14" i="78"/>
  <c r="Q31" i="57"/>
  <c r="F5" i="113" l="1"/>
  <c r="F7" i="112"/>
  <c r="F5" i="110"/>
  <c r="F5" i="112"/>
  <c r="F7" i="110"/>
  <c r="Q31" i="58"/>
</calcChain>
</file>

<file path=xl/sharedStrings.xml><?xml version="1.0" encoding="utf-8"?>
<sst xmlns="http://schemas.openxmlformats.org/spreadsheetml/2006/main" count="6820" uniqueCount="452">
  <si>
    <t>No.</t>
  </si>
  <si>
    <t>Item</t>
  </si>
  <si>
    <t>Unit</t>
  </si>
  <si>
    <t>Qty</t>
  </si>
  <si>
    <t>Rate</t>
  </si>
  <si>
    <t>Amount ($1,000's)</t>
  </si>
  <si>
    <t>Comments</t>
  </si>
  <si>
    <t>General</t>
  </si>
  <si>
    <t>a</t>
  </si>
  <si>
    <t>Mob/Demob</t>
  </si>
  <si>
    <t>Allowance</t>
  </si>
  <si>
    <t>b</t>
  </si>
  <si>
    <t>Site Prep</t>
  </si>
  <si>
    <t>c</t>
  </si>
  <si>
    <t>Clear &amp; Grub</t>
  </si>
  <si>
    <t>acre</t>
  </si>
  <si>
    <t>d</t>
  </si>
  <si>
    <t>E&amp;S Control</t>
  </si>
  <si>
    <t>ft.</t>
  </si>
  <si>
    <t>e</t>
  </si>
  <si>
    <t>Other</t>
  </si>
  <si>
    <t>f</t>
  </si>
  <si>
    <t>Subtotal, General</t>
  </si>
  <si>
    <t>sf</t>
  </si>
  <si>
    <t>Excavation</t>
  </si>
  <si>
    <t>i</t>
  </si>
  <si>
    <t>Structure</t>
  </si>
  <si>
    <t>cy</t>
  </si>
  <si>
    <t>ii</t>
  </si>
  <si>
    <t>Intake</t>
  </si>
  <si>
    <t>iii</t>
  </si>
  <si>
    <t>Tailrace</t>
  </si>
  <si>
    <t>Demolition</t>
  </si>
  <si>
    <t>Dewatering</t>
  </si>
  <si>
    <t>week</t>
  </si>
  <si>
    <t>g</t>
  </si>
  <si>
    <t>h</t>
  </si>
  <si>
    <t>Trashracks</t>
  </si>
  <si>
    <t>Trashrake</t>
  </si>
  <si>
    <t>j</t>
  </si>
  <si>
    <t>k</t>
  </si>
  <si>
    <t>l</t>
  </si>
  <si>
    <t>Misc. metals</t>
  </si>
  <si>
    <t>m</t>
  </si>
  <si>
    <t>HVAC</t>
  </si>
  <si>
    <t>n</t>
  </si>
  <si>
    <t>Auxilliary Mechanical</t>
  </si>
  <si>
    <t>o</t>
  </si>
  <si>
    <t>Lighting, auxilliary electrical</t>
  </si>
  <si>
    <t>p</t>
  </si>
  <si>
    <t>q</t>
  </si>
  <si>
    <t>Subtotal, Powerhouse</t>
  </si>
  <si>
    <t>Equipment</t>
  </si>
  <si>
    <t>Switchgear</t>
  </si>
  <si>
    <t>I&amp;C</t>
  </si>
  <si>
    <t>Station Service, MCC</t>
  </si>
  <si>
    <t>Subtotal, Equipment</t>
  </si>
  <si>
    <t>Concrete</t>
  </si>
  <si>
    <t>PM&amp;E Measures</t>
  </si>
  <si>
    <t>D/S fish passage</t>
  </si>
  <si>
    <t>Min flow verification</t>
  </si>
  <si>
    <t>Wetlands</t>
  </si>
  <si>
    <t>Recreation</t>
  </si>
  <si>
    <t xml:space="preserve">Subtotal, PM&amp;E </t>
  </si>
  <si>
    <t>year</t>
  </si>
  <si>
    <t>Studies</t>
  </si>
  <si>
    <t>Legal review</t>
  </si>
  <si>
    <t>Land &amp; Land Rights</t>
  </si>
  <si>
    <t>Flowage rights</t>
  </si>
  <si>
    <t>Project works, land in fee</t>
  </si>
  <si>
    <t>Interconnection R.O.W.</t>
  </si>
  <si>
    <t>Legal</t>
  </si>
  <si>
    <t xml:space="preserve">Subtotal, Land </t>
  </si>
  <si>
    <t>Interconnection</t>
  </si>
  <si>
    <t>New Line</t>
  </si>
  <si>
    <t>Metering</t>
  </si>
  <si>
    <t>Switchyard</t>
  </si>
  <si>
    <t>Subtotal, Interconnection</t>
  </si>
  <si>
    <t>Indirect Costs</t>
  </si>
  <si>
    <t>A/E</t>
  </si>
  <si>
    <t>Construction Management</t>
  </si>
  <si>
    <t>Testing</t>
  </si>
  <si>
    <t>geo-tech, concrete</t>
  </si>
  <si>
    <t>FERC submittals</t>
  </si>
  <si>
    <t>Owner's Admin &amp; Overhead</t>
  </si>
  <si>
    <t>Subtotal, Indirects</t>
  </si>
  <si>
    <t>Totals</t>
  </si>
  <si>
    <t>Subtotal, Directs</t>
  </si>
  <si>
    <t>Subtotal</t>
  </si>
  <si>
    <t>Contingency</t>
  </si>
  <si>
    <t>Grand Total</t>
  </si>
  <si>
    <t>Design Report, Status Reports</t>
  </si>
  <si>
    <t>Item/
Study Year</t>
  </si>
  <si>
    <t>Initial Investment</t>
  </si>
  <si>
    <t>O&amp;M</t>
  </si>
  <si>
    <t>Major Maintenance</t>
  </si>
  <si>
    <t>Subtotal, Costs</t>
  </si>
  <si>
    <t>Energy</t>
  </si>
  <si>
    <t>Recs</t>
  </si>
  <si>
    <t>Subtotal, Revenues</t>
  </si>
  <si>
    <t>Nominal Dollars</t>
  </si>
  <si>
    <t>NPV</t>
  </si>
  <si>
    <t>Cum NPV</t>
  </si>
  <si>
    <t>Proforma Inputs</t>
  </si>
  <si>
    <t>Esc. Rate</t>
  </si>
  <si>
    <t>Disc. Rate</t>
  </si>
  <si>
    <t>MWH</t>
  </si>
  <si>
    <t>Energy Rate</t>
  </si>
  <si>
    <t>Rec Rate</t>
  </si>
  <si>
    <t>$/KW-mos</t>
  </si>
  <si>
    <t>Costs ($1,000's)</t>
  </si>
  <si>
    <t>Revenues ($1,000's)</t>
  </si>
  <si>
    <t>Cashflows ($1,000's)</t>
  </si>
  <si>
    <t>Assumptions</t>
  </si>
  <si>
    <t>Coffer dam, Pond</t>
  </si>
  <si>
    <t>Coffer dam, Tailrace</t>
  </si>
  <si>
    <t>Turbine, generator, governor, controls, breaker &amp; protection</t>
  </si>
  <si>
    <t>Avoided Distribution</t>
  </si>
  <si>
    <t>Distribution</t>
  </si>
  <si>
    <t>$/MWH</t>
  </si>
  <si>
    <t>Demand</t>
  </si>
  <si>
    <t>Results</t>
  </si>
  <si>
    <t>PreTax, Cash on Cash IRR</t>
  </si>
  <si>
    <t>Discounted Pay Back</t>
  </si>
  <si>
    <t>Superstructure, Decking</t>
  </si>
  <si>
    <t>State Grants</t>
  </si>
  <si>
    <t>Fed Grants</t>
  </si>
  <si>
    <t>Federal Grants</t>
  </si>
  <si>
    <t>Draft Tube extension</t>
  </si>
  <si>
    <t>Sluice gate</t>
  </si>
  <si>
    <t>Powerhouse/Intake</t>
  </si>
  <si>
    <t>Major maintenance: $50k in years 5 &amp; 15, $125k in years 10 &amp; 20</t>
  </si>
  <si>
    <t xml:space="preserve">Spillway </t>
  </si>
  <si>
    <t>Coffer Dams</t>
  </si>
  <si>
    <t>Spillway Concrete</t>
  </si>
  <si>
    <t>Pneumatic flashboards</t>
  </si>
  <si>
    <t>Subtotal, Spillway</t>
  </si>
  <si>
    <t>East (left) Dike</t>
  </si>
  <si>
    <t>Access</t>
  </si>
  <si>
    <t>Assume 50-ft. of length</t>
  </si>
  <si>
    <t>Clear &amp; grub</t>
  </si>
  <si>
    <t>Dike restoration</t>
  </si>
  <si>
    <t>Subtotal, East Dike</t>
  </si>
  <si>
    <t>West (right) Dike</t>
  </si>
  <si>
    <t>Subtotal, West Dike</t>
  </si>
  <si>
    <t>Canal</t>
  </si>
  <si>
    <t>Assume 1,000-ft. of length</t>
  </si>
  <si>
    <t>Bank Restoration</t>
  </si>
  <si>
    <t>Subtotal, Canal</t>
  </si>
  <si>
    <t>Cultural</t>
  </si>
  <si>
    <t>Capacity/Demand</t>
  </si>
  <si>
    <t>Dam Repairs</t>
  </si>
  <si>
    <t>KW</t>
  </si>
  <si>
    <t>Max KW</t>
  </si>
  <si>
    <t>Dam</t>
  </si>
  <si>
    <t>Repair Costs</t>
  </si>
  <si>
    <t>From Cargill Falls</t>
  </si>
  <si>
    <t>Assume 40'x25' from Cargill Falls</t>
  </si>
  <si>
    <t>Check sizing for approach velocity target of 2 fps</t>
  </si>
  <si>
    <t>Allowance for automatic rake</t>
  </si>
  <si>
    <t>Draft Tube gates</t>
  </si>
  <si>
    <t>Shipping Handling &amp; Installation</t>
  </si>
  <si>
    <t>20% of equipment costs</t>
  </si>
  <si>
    <t>Water Quality</t>
  </si>
  <si>
    <t>8% of Direct Costs</t>
  </si>
  <si>
    <t>A</t>
  </si>
  <si>
    <t>B</t>
  </si>
  <si>
    <t>C</t>
  </si>
  <si>
    <t>Discount Rate</t>
  </si>
  <si>
    <t>Escalation Rate</t>
  </si>
  <si>
    <t>No</t>
  </si>
  <si>
    <t>Description</t>
  </si>
  <si>
    <t>Mavel 0.85M Bulb, Dbl Reg</t>
  </si>
  <si>
    <t>Mavel 1.29M Vert Kapl</t>
  </si>
  <si>
    <t>Mavel 1.05M Bulb, Dbl Reg</t>
  </si>
  <si>
    <t>Mavel 1.8M Vert Kapl</t>
  </si>
  <si>
    <t>Mavel 0.85M Vert Kapl</t>
  </si>
  <si>
    <t>Mavel 1.29 Bulb, Dbl Reg</t>
  </si>
  <si>
    <t>Mavel 1.8 Bulb, Dbl Reg</t>
  </si>
  <si>
    <t>Dia</t>
  </si>
  <si>
    <t>Price</t>
  </si>
  <si>
    <t>Dbl Reg Bulbs (esc 2009 by 2.5%)</t>
  </si>
  <si>
    <t>Eq</t>
  </si>
  <si>
    <t>m=</t>
  </si>
  <si>
    <t>b=</t>
  </si>
  <si>
    <t>mm</t>
  </si>
  <si>
    <t>bb</t>
  </si>
  <si>
    <t>Total</t>
  </si>
  <si>
    <t>IRR</t>
  </si>
  <si>
    <t>Alt</t>
  </si>
  <si>
    <t>RI 
Grants</t>
  </si>
  <si>
    <t>Fed Grant</t>
  </si>
  <si>
    <t>Energy
Rate
$/MWH</t>
  </si>
  <si>
    <t>Installed
Cost ($1,000's)</t>
  </si>
  <si>
    <t>Installed
Capacity
(kW)</t>
  </si>
  <si>
    <t>Energy (MWH)</t>
  </si>
  <si>
    <t>REC's ($//MWH)</t>
  </si>
  <si>
    <t>All Alts</t>
  </si>
  <si>
    <t>Term (Yrs)</t>
  </si>
  <si>
    <t>Notes:</t>
  </si>
  <si>
    <t>RI (State) Grants: defined % of Direct Costs</t>
  </si>
  <si>
    <t>Energy Rate: assumes pricing for distributed renewable energy</t>
  </si>
  <si>
    <t>IRR: Internal Rate of Return</t>
  </si>
  <si>
    <t>Estimates based on 20 year study period.</t>
  </si>
  <si>
    <t>NPV (Net Present Value): values given represent NPV at end of study period</t>
  </si>
  <si>
    <t>NPV
($1,000s)</t>
  </si>
  <si>
    <t>REC (Renewable Energy Certificate): additional commodity value for energy derived from qualified renewable sources</t>
  </si>
  <si>
    <t>Installed Costs
($/kw)</t>
  </si>
  <si>
    <t>Omega</t>
  </si>
  <si>
    <t>Hunt's Mill</t>
  </si>
  <si>
    <t>Turner Reservoir</t>
  </si>
  <si>
    <t>Site</t>
  </si>
  <si>
    <t>BM</t>
  </si>
  <si>
    <t>HW</t>
  </si>
  <si>
    <t>TW</t>
  </si>
  <si>
    <t>D.A.
(SqMi)</t>
  </si>
  <si>
    <t>Turners Reservoir Dam</t>
  </si>
  <si>
    <t>Hunt's Mill Dam</t>
  </si>
  <si>
    <t>Hunt's Mill Dam 2</t>
  </si>
  <si>
    <t>Omega Pond Dam</t>
  </si>
  <si>
    <t>Turner - Hunt's Mill</t>
  </si>
  <si>
    <t>see notes</t>
  </si>
  <si>
    <t>Turner - Hunt's Mill 2</t>
  </si>
  <si>
    <t>ID</t>
  </si>
  <si>
    <t>D</t>
  </si>
  <si>
    <t>E</t>
  </si>
  <si>
    <t>F</t>
  </si>
  <si>
    <t>Repair estimates  from Phase I Inspection Rpt (MBP Consulting, 11/10)</t>
  </si>
  <si>
    <t>Cost Base = Blackstone 3m Pit 9/13/10. Red values and notes indicate changes from base.</t>
  </si>
  <si>
    <t>ITEM / DESCRIPTION</t>
  </si>
  <si>
    <t>INTERCONNECTION TO NATIONAL GRID</t>
  </si>
  <si>
    <t>Turner Reservoir (Single Circuit)</t>
  </si>
  <si>
    <t>Hunt's Mill (Single Circuit)</t>
  </si>
  <si>
    <t>Omega Pond (Single Circuit)</t>
  </si>
  <si>
    <t>Units</t>
  </si>
  <si>
    <t>Unit Price</t>
  </si>
  <si>
    <t>Total Price</t>
  </si>
  <si>
    <t xml:space="preserve">13.8 kV Overhead Distribution Line </t>
  </si>
  <si>
    <t>mi.</t>
  </si>
  <si>
    <t>13.8 kv Sectionalizers</t>
  </si>
  <si>
    <t>ea</t>
  </si>
  <si>
    <t>13.8 kV Pole-Mounted Distribution Transformers</t>
  </si>
  <si>
    <t>3-Phase Fused Disconnecting Switch</t>
  </si>
  <si>
    <t>Service Switchgear
- Main disconnecting switch
-Branch circuit breakers</t>
  </si>
  <si>
    <t>Included on individual proformas (see Interconnection Costs tab)</t>
  </si>
  <si>
    <t>Assumes installed by others</t>
  </si>
  <si>
    <t>Notes: 12/14/10</t>
  </si>
  <si>
    <t>Licensing &amp; Permitting</t>
  </si>
  <si>
    <t>Consultations</t>
  </si>
  <si>
    <t>Draft FERC Application</t>
  </si>
  <si>
    <t>Final FERC Application</t>
  </si>
  <si>
    <t>Non-FERC Permits</t>
  </si>
  <si>
    <t>From Pawtuxet 1m Pit. Check sizing for approach velocity target of 2 fps</t>
  </si>
  <si>
    <t>From Pawtuxet 1m Pit Costs</t>
  </si>
  <si>
    <t>Project / Description</t>
  </si>
  <si>
    <t>Hunt's Mill 2</t>
  </si>
  <si>
    <t xml:space="preserve">Omega Pond </t>
  </si>
  <si>
    <t>See individual proforma sheets</t>
  </si>
  <si>
    <t xml:space="preserve">Included on Costs B, C &amp; E </t>
  </si>
  <si>
    <t>Subtotal, Licensing &amp; Permitting</t>
  </si>
  <si>
    <t xml:space="preserve">Licensing &amp; Permitting </t>
  </si>
  <si>
    <t xml:space="preserve">In addition to costs included on Costs B, C &amp; E </t>
  </si>
  <si>
    <t>Cost Base = Blackstone 3m Pit 9/13/10 &amp; Robert King Hydro 8/7/09. Red values and notes indicate changes from base.</t>
  </si>
  <si>
    <t>Modified to reflect incremental costs for 10 Mile R. options with bypass reach &amp; min flow unit. Anticipate some site specific modifications that can be developed on individual proforma sheets.</t>
  </si>
  <si>
    <t xml:space="preserve">Mavel TM-3 Siphon Unit (qoute from 6/09)
10 cfs hyd cap. </t>
  </si>
  <si>
    <t>From Phase I Dam Repair Costs (MBP Consulting 2010)</t>
  </si>
  <si>
    <t>From Interconnection Costs (Fostiak Eng. 2010)</t>
  </si>
  <si>
    <t>Includes: sectionalizers, transformers, disconnect switch.
From Interconnection Costs (Fostiak Eng. 2010)</t>
  </si>
  <si>
    <t>Allowance for: WQC, Wetlands, S. 106, S. 404, CZM, etc.</t>
  </si>
  <si>
    <t xml:space="preserve">Assumes - 
136 kw installed capacity
286 cfs max turbine flow
based on 8' gross head
</t>
  </si>
  <si>
    <t>Notes: 12/17/10</t>
  </si>
  <si>
    <t xml:space="preserve">Assumes - 
261 kw installed
286 cfs hyd cap
14' gross head
</t>
  </si>
  <si>
    <t>Fostiak Engineering (2010)</t>
  </si>
  <si>
    <t>Allowance: WQC, Wetlands, S. 106, S. 404, CZM, etc.</t>
  </si>
  <si>
    <t>Fostiak Eng. (2010)</t>
  </si>
  <si>
    <t>C-2</t>
  </si>
  <si>
    <t>E-2</t>
  </si>
  <si>
    <t>Capacity Factor</t>
  </si>
  <si>
    <t>Results w/ Instream Flows</t>
  </si>
  <si>
    <t>Hyd.Cap
(cfs)</t>
  </si>
  <si>
    <t>Installed Capacity
(kw)</t>
  </si>
  <si>
    <t>Net Annual Energy
(MWH)</t>
  </si>
  <si>
    <t>Gross Head
(ft)</t>
  </si>
  <si>
    <t>Results w. 1/2 Instream Flows</t>
  </si>
  <si>
    <t>Results w. No Instream Flows</t>
  </si>
  <si>
    <t>Allowance, includes penstock alignment</t>
  </si>
  <si>
    <t>Phase I Dam Repair Cost (MBP Consulting)</t>
  </si>
  <si>
    <t>Alowance; assumes acceptance of standard instream flow settings</t>
  </si>
  <si>
    <t>Refurbishment Estimate</t>
  </si>
  <si>
    <t>Allowance for impacts from penstock alignment</t>
  </si>
  <si>
    <t>Allowance for penstock alignment</t>
  </si>
  <si>
    <t xml:space="preserve">Assumes - 
Upgrade/Modernize existing Francis Unit
242 kw installed cap
102 cfs hyd cap
30% CF 
36.6 ft GH
</t>
  </si>
  <si>
    <t>Penstock</t>
  </si>
  <si>
    <t xml:space="preserve">Assumes - 
280 kw installed cap
114 cfs hyd cap
36.6 ft head
33% CF
</t>
  </si>
  <si>
    <t xml:space="preserve">Assumes - 
120 kw installed
213 hyd cap
40% CF
8.4 ft GH
</t>
  </si>
  <si>
    <t>Phase I Dam Repair Cost Est. (MBP Consulting 2010)</t>
  </si>
  <si>
    <t>Assumes - 
New doble regulated Kaplan
200 kw installed cap
114 hyd cap
32% CF
26.2 ft GH</t>
  </si>
  <si>
    <t xml:space="preserve">Assumes - 
Upgrade/Modernize existing Francis Unit
200 kw installed cap
114 cfs hyd cap
30% CF 
26.2 ft GH
</t>
  </si>
  <si>
    <t xml:space="preserve">Assumes - 
Restore existing Francis Unit
144 kw installed cap
102 cfs hyd cap
32% CF 
26.2 ft GH
</t>
  </si>
  <si>
    <t>E-3</t>
  </si>
  <si>
    <t>Hunt's Mill Dam 2 (Restored Francis)</t>
  </si>
  <si>
    <t>Results With Instream Flows</t>
  </si>
  <si>
    <t xml:space="preserve">Assumes - 
1/2 instream flows
176 kw installed
130 cfs hyd cap
@ 22 ft head
</t>
  </si>
  <si>
    <t xml:space="preserve">Assumes - 
1/2 instream flows
313 kw installed cap
130 cfs hyd cap
36.6 ft head
40% CF
</t>
  </si>
  <si>
    <t xml:space="preserve">Assumes - 
no instream flow
288 kw installed cap
213 cfs hyd cap
36.6 ft head
42% CF
</t>
  </si>
  <si>
    <t>Assumes - 
New double regulated Kaplan
1/2 instream flows
234 kw installed cap
130 hyd cap
39% CF
26.2 ft GH</t>
  </si>
  <si>
    <t>Assumes - 
New double regulated Kaplan
no instream flows
383 kw installed cap
213 hyd cap
40% CF
26.2 ft GH</t>
  </si>
  <si>
    <t>Denotes cell input linked to Summary Tab</t>
  </si>
  <si>
    <t>Denotes cell input linked to Individual Cost Tabs</t>
  </si>
  <si>
    <t>Results with 1/2 Instream Flows</t>
  </si>
  <si>
    <t>Results with No Instream Flows</t>
  </si>
  <si>
    <t>Diameter Bulb</t>
  </si>
  <si>
    <t>2010 Price ($1,000's)</t>
  </si>
  <si>
    <t>Eq Price
($1,000's)</t>
  </si>
  <si>
    <t>Runner
Dia
Meters</t>
  </si>
  <si>
    <t>Horz Tube</t>
  </si>
  <si>
    <t>Vert Kaplan</t>
  </si>
  <si>
    <t>Vert Francis</t>
  </si>
  <si>
    <t>Powerhouse Civil</t>
  </si>
  <si>
    <t>Turbine, generator, &amp; governor</t>
  </si>
  <si>
    <t>Instrumentation &amp; Controls</t>
  </si>
  <si>
    <t>Protection</t>
  </si>
  <si>
    <t>Subtotal, Lic. &amp; Permitting</t>
  </si>
  <si>
    <t>Input Diameter Bulb</t>
  </si>
  <si>
    <t>Cost Calculator</t>
  </si>
  <si>
    <t>Runner Diameter
(mm)</t>
  </si>
  <si>
    <t>Powerhouse Civil
(items 2c-j)</t>
  </si>
  <si>
    <t>2010
Civil
Cost</t>
  </si>
  <si>
    <t>Formula</t>
  </si>
  <si>
    <t>Pawtuxet</t>
  </si>
  <si>
    <t>Cargill Falls</t>
  </si>
  <si>
    <t xml:space="preserve">Blackstone R. </t>
  </si>
  <si>
    <t>Case</t>
  </si>
  <si>
    <t>Runner Diameter
(FT)</t>
  </si>
  <si>
    <t>B,C, E; w/ Qmin</t>
  </si>
  <si>
    <t>C2, E2, E3</t>
  </si>
  <si>
    <t>B,C, E;  1/2 Qmin</t>
  </si>
  <si>
    <t>A, F; and B,C, E;  no Qmin</t>
  </si>
  <si>
    <t>Runner Diameter (mm)</t>
  </si>
  <si>
    <t>Cost</t>
  </si>
  <si>
    <t>Allowance; From Dexter Russell</t>
  </si>
  <si>
    <t>Source</t>
  </si>
  <si>
    <t>Length
(FT)</t>
  </si>
  <si>
    <t>Diameter
(FT)</t>
  </si>
  <si>
    <t>Cost
(FOB)</t>
  </si>
  <si>
    <t>2010 Cost</t>
  </si>
  <si>
    <t>Cost/FT</t>
  </si>
  <si>
    <t>DB Cotton, Apr 2009</t>
  </si>
  <si>
    <t>Val, July 2011</t>
  </si>
  <si>
    <t>Val, July 2010</t>
  </si>
  <si>
    <t>Values for Formula</t>
  </si>
  <si>
    <t>Values for East Providence</t>
  </si>
  <si>
    <t>Dia (FT)</t>
  </si>
  <si>
    <t>Material
$/FT</t>
  </si>
  <si>
    <t>Material</t>
  </si>
  <si>
    <t>Transp
and
Install</t>
  </si>
  <si>
    <t>Total
2010 Costs</t>
  </si>
  <si>
    <t>Penstk
Dia
Ft.</t>
  </si>
  <si>
    <t>Trash Rake</t>
  </si>
  <si>
    <t>950mm, Costs developed from recent projects</t>
  </si>
  <si>
    <t>Length
FT</t>
  </si>
  <si>
    <t>TrashRake</t>
  </si>
  <si>
    <t>4.3' diameter penstock. Includes: materials, shipping &amp; installation</t>
  </si>
  <si>
    <t>Assumes 4.6' diameter penstock. Includes: materials, shipping &amp; installation</t>
  </si>
  <si>
    <t>5.8' diameter penstock. Includes: material, transporation and installation</t>
  </si>
  <si>
    <t>4.3' diameter penstock. Includes: material, shipping &amp; installation</t>
  </si>
  <si>
    <t>Assumes 4.3' diameter penstock. Includes: materials, shipping &amp; installation</t>
  </si>
  <si>
    <t>Assumes 3.7' diameter penstock. Includes: materials, shipping &amp; installation</t>
  </si>
  <si>
    <t>Insurance</t>
  </si>
  <si>
    <t>O&amp;M: 1.5¢/KWH escalated at defined rate (see summary sheet)</t>
  </si>
  <si>
    <t>w/ restored unit</t>
  </si>
  <si>
    <t>2010
Civil Cost
Formula + $50k for intake</t>
  </si>
  <si>
    <t>General Maintenance Costs</t>
  </si>
  <si>
    <t>General Maintenance costs are catch-up allowances</t>
  </si>
  <si>
    <t xml:space="preserve">Included in Individual Cost Sheets </t>
  </si>
  <si>
    <t>Tailrace (cofferdam and excavation)</t>
  </si>
  <si>
    <t>Cofferdam, Tailrace</t>
  </si>
  <si>
    <t>Includes: intake, powerhouse, tailrace and trashrake</t>
  </si>
  <si>
    <t>Included in Instrumentation &amp; Controls</t>
  </si>
  <si>
    <t>Allowance, includes license min flow compliance</t>
  </si>
  <si>
    <t>Allowance for intake, trashracks and powerhouse repairs</t>
  </si>
  <si>
    <t>Payment in lieu of Property Taxes</t>
  </si>
  <si>
    <t>Avg. Power</t>
  </si>
  <si>
    <t>Payment in Lieu of Property taxes: 1.5% of initial investment, escalated</t>
  </si>
  <si>
    <t>Allowance, includes license min flow verification</t>
  </si>
  <si>
    <t>Subtotal, Powerhouse/Intake</t>
  </si>
  <si>
    <t>900mm runner, estimated costs developed from recent projects</t>
  </si>
  <si>
    <t>Runner 1.25m, estimated costs developed from recent projects</t>
  </si>
  <si>
    <t>Runner 950mm, Estimated costs developed from recent projects</t>
  </si>
  <si>
    <t>900 mm runner, Estimated costs developed from recent projects</t>
  </si>
  <si>
    <t>950mm runner, estimated costs developed from recent projects</t>
  </si>
  <si>
    <t>Estimated costs for restoration of 0.81 m diameter Francis runner</t>
  </si>
  <si>
    <t>Fed Grant: Assumes extension of Investment Tax Credit (ITC) &amp; assocaited muni. benefit of partnership with outside tax investor</t>
  </si>
  <si>
    <t>Insurance: 0.25% of initial investment, escalated</t>
  </si>
  <si>
    <t>IRR
(%)</t>
  </si>
  <si>
    <t>Includes: intake, trashracks &amp; powerhouse repairs</t>
  </si>
  <si>
    <t>Allowance for monitoring</t>
  </si>
  <si>
    <t>Alowance; assumes instream flow studies</t>
  </si>
  <si>
    <t>Allowance for impacts from tailrace</t>
  </si>
  <si>
    <t>Allowance for impacts from penstock and tailrace alignment</t>
  </si>
  <si>
    <t>Allowance for impacts from tailrace alignment</t>
  </si>
  <si>
    <t>Standard
Instream
Flows</t>
  </si>
  <si>
    <t>Half
Instream
Flows</t>
  </si>
  <si>
    <t>No
Instream
Flows</t>
  </si>
  <si>
    <t>Turners</t>
  </si>
  <si>
    <t>Hunts</t>
  </si>
  <si>
    <t>Head
(FT)</t>
  </si>
  <si>
    <t>Annual Energy Potential (MWH)</t>
  </si>
  <si>
    <t>Economic Analysis - Standard Instream Flows</t>
  </si>
  <si>
    <t>$/kW</t>
  </si>
  <si>
    <t>Installed
Capacity (kW)</t>
  </si>
  <si>
    <t>Installed
Costs
($1,000's)</t>
  </si>
  <si>
    <t>Economic Analysis - Half Instream Flows</t>
  </si>
  <si>
    <t>Economic Analysis - No Instream Flows</t>
  </si>
  <si>
    <t>NPV
($1,000's)</t>
  </si>
  <si>
    <t>Annual
Energy
(MWH)</t>
  </si>
  <si>
    <t>Development</t>
  </si>
  <si>
    <t>2. Diversion from Hunts Mill Dam (E)</t>
  </si>
  <si>
    <t>a. New Equipment</t>
  </si>
  <si>
    <t>b. Repower Existing Unit</t>
  </si>
  <si>
    <t>b. Restore Existing Turbine</t>
  </si>
  <si>
    <t>Hunts Mill Options - Standard Instream Flows</t>
  </si>
  <si>
    <t>1. Diversion from Turners (C)</t>
  </si>
  <si>
    <t>Denotes cells for user input</t>
  </si>
  <si>
    <t>Equipment Configuration</t>
  </si>
  <si>
    <t>Residual Value: calculated growth rate of year 19 revenues (only if positive cashflows)</t>
  </si>
  <si>
    <t>Residual Value</t>
  </si>
  <si>
    <t>Licensing &amp; Permitting Summary</t>
  </si>
  <si>
    <t>Studies
(yrs)</t>
  </si>
  <si>
    <t>Consultations
(yrs)</t>
  </si>
  <si>
    <t>Alternatives</t>
  </si>
  <si>
    <t>A, D, F</t>
  </si>
  <si>
    <t>Costs
($1,000's)</t>
  </si>
  <si>
    <t>B, E</t>
  </si>
  <si>
    <t>Bypass, Wetland Impacts, Standard ABF</t>
  </si>
  <si>
    <t>Bypass, Wetland Impacts, Modified ABF</t>
  </si>
  <si>
    <t>Longer Bypass, More Wetland Impacts, Standard ABF</t>
  </si>
  <si>
    <t>Longer Bypass, More Wetland Impacts, Modified ABF</t>
  </si>
  <si>
    <t>Minimal Env. Impacts (bypass, stream flows &amp; wetlands)</t>
  </si>
  <si>
    <t>Key Regulatory Drivers</t>
  </si>
  <si>
    <t>TOTAL 
($1,000's)</t>
  </si>
  <si>
    <t>Hyd</t>
  </si>
  <si>
    <t>Runner</t>
  </si>
  <si>
    <t>penstock</t>
  </si>
  <si>
    <t>Assumes 5.21' diameter penstock. Includes: materials, shipping &amp; installation</t>
  </si>
  <si>
    <t>Allowance for repowering 1.12m diameter Francis runner</t>
  </si>
  <si>
    <t>Allowance for impacts from tailrace restoration</t>
  </si>
  <si>
    <t>Turner - Hunt's Mill 2 (Repowered Francis)</t>
  </si>
  <si>
    <t>Hunt's Mill Dam 2 (Repowered Francis)</t>
  </si>
  <si>
    <t>Hunt's Mill 2 (Repowered Francis)</t>
  </si>
  <si>
    <t>w/ repowered unit</t>
  </si>
  <si>
    <t>*</t>
  </si>
</sst>
</file>

<file path=xl/styles.xml><?xml version="1.0" encoding="utf-8"?>
<styleSheet xmlns="http://schemas.openxmlformats.org/spreadsheetml/2006/main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66" formatCode="#,##0.0_);[Red]\(#,##0.0\)"/>
    <numFmt numFmtId="167" formatCode="#,##0.000"/>
    <numFmt numFmtId="168" formatCode="&quot;$&quot;#,##0"/>
    <numFmt numFmtId="169" formatCode="_(* #,##0_);_(* \(#,##0\);_(* &quot;-&quot;??_);_(@_)"/>
    <numFmt numFmtId="170" formatCode="0.000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11"/>
      <color indexed="8"/>
      <name val="Calibri"/>
      <family val="2"/>
    </font>
    <font>
      <b/>
      <u/>
      <sz val="8"/>
      <name val="Arial"/>
      <family val="2"/>
    </font>
    <font>
      <sz val="8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4" fillId="6" borderId="0" applyNumberFormat="0" applyBorder="0" applyAlignment="0" applyProtection="0"/>
    <xf numFmtId="0" fontId="15" fillId="7" borderId="22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8" fillId="2" borderId="1" applyNumberFormat="0" applyFont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</cellStyleXfs>
  <cellXfs count="401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38" fontId="0" fillId="0" borderId="0" xfId="0" applyNumberFormat="1"/>
    <xf numFmtId="38" fontId="0" fillId="0" borderId="0" xfId="0" applyNumberForma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/>
    <xf numFmtId="0" fontId="6" fillId="3" borderId="0" xfId="0" applyFont="1" applyFill="1" applyAlignment="1">
      <alignment vertical="center" wrapText="1"/>
    </xf>
    <xf numFmtId="3" fontId="6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166" fontId="0" fillId="3" borderId="0" xfId="0" applyNumberFormat="1" applyFill="1" applyAlignment="1">
      <alignment horizontal="center"/>
    </xf>
    <xf numFmtId="0" fontId="0" fillId="3" borderId="0" xfId="0" applyFill="1"/>
    <xf numFmtId="0" fontId="6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166" fontId="0" fillId="3" borderId="0" xfId="0" applyNumberForma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 wrapText="1"/>
    </xf>
    <xf numFmtId="0" fontId="0" fillId="3" borderId="0" xfId="0" applyFill="1" applyAlignment="1">
      <alignment horizontal="left" vertical="center" wrapText="1" indent="1"/>
    </xf>
    <xf numFmtId="0" fontId="0" fillId="3" borderId="0" xfId="0" applyFill="1" applyBorder="1" applyAlignment="1">
      <alignment horizontal="right" vertical="center" wrapText="1"/>
    </xf>
    <xf numFmtId="166" fontId="0" fillId="3" borderId="0" xfId="0" applyNumberForma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 indent="1"/>
    </xf>
    <xf numFmtId="0" fontId="0" fillId="3" borderId="0" xfId="0" applyFill="1" applyAlignment="1">
      <alignment horizontal="left" vertical="center"/>
    </xf>
    <xf numFmtId="166" fontId="6" fillId="3" borderId="0" xfId="0" applyNumberFormat="1" applyFont="1" applyFill="1" applyAlignment="1">
      <alignment horizontal="center" vertical="center"/>
    </xf>
    <xf numFmtId="0" fontId="0" fillId="3" borderId="2" xfId="0" applyFill="1" applyBorder="1" applyAlignment="1">
      <alignment horizontal="right" vertical="center" wrapText="1"/>
    </xf>
    <xf numFmtId="0" fontId="0" fillId="3" borderId="2" xfId="0" applyFill="1" applyBorder="1" applyAlignment="1">
      <alignment horizontal="left" vertical="center" wrapText="1" indent="1"/>
    </xf>
    <xf numFmtId="0" fontId="0" fillId="3" borderId="2" xfId="0" applyFill="1" applyBorder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8" fontId="0" fillId="3" borderId="0" xfId="0" applyNumberFormat="1" applyFill="1" applyAlignment="1">
      <alignment horizontal="center"/>
    </xf>
    <xf numFmtId="38" fontId="0" fillId="3" borderId="0" xfId="0" applyNumberForma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3" fontId="0" fillId="3" borderId="0" xfId="0" applyNumberFormat="1" applyFill="1"/>
    <xf numFmtId="0" fontId="0" fillId="3" borderId="0" xfId="0" applyFill="1" applyAlignment="1">
      <alignment horizontal="left" vertical="center" wrapText="1" indent="2"/>
    </xf>
    <xf numFmtId="0" fontId="7" fillId="3" borderId="0" xfId="0" applyFont="1" applyFill="1" applyAlignment="1">
      <alignment horizontal="left" vertical="center" wrapText="1" indent="2"/>
    </xf>
    <xf numFmtId="0" fontId="7" fillId="3" borderId="0" xfId="0" applyFont="1" applyFill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 indent="1"/>
    </xf>
    <xf numFmtId="0" fontId="7" fillId="3" borderId="0" xfId="0" applyFont="1" applyFill="1" applyAlignment="1">
      <alignment horizontal="right" vertical="center" wrapText="1"/>
    </xf>
    <xf numFmtId="0" fontId="7" fillId="3" borderId="0" xfId="0" applyFont="1" applyFill="1" applyBorder="1" applyAlignment="1">
      <alignment horizontal="left" vertical="center" wrapText="1" indent="1"/>
    </xf>
    <xf numFmtId="0" fontId="0" fillId="3" borderId="0" xfId="0" applyFill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/>
    </xf>
    <xf numFmtId="3" fontId="0" fillId="3" borderId="0" xfId="0" applyNumberFormat="1" applyFill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0" fillId="3" borderId="2" xfId="0" applyFill="1" applyBorder="1"/>
    <xf numFmtId="3" fontId="0" fillId="3" borderId="2" xfId="0" applyNumberFormat="1" applyFill="1" applyBorder="1"/>
    <xf numFmtId="0" fontId="0" fillId="3" borderId="0" xfId="0" applyFill="1" applyAlignment="1">
      <alignment horizontal="right"/>
    </xf>
    <xf numFmtId="3" fontId="0" fillId="3" borderId="0" xfId="0" applyNumberFormat="1" applyFill="1" applyBorder="1"/>
    <xf numFmtId="0" fontId="6" fillId="3" borderId="0" xfId="0" applyFont="1" applyFill="1" applyAlignment="1">
      <alignment horizontal="right" vertical="center" wrapText="1"/>
    </xf>
    <xf numFmtId="0" fontId="0" fillId="3" borderId="0" xfId="0" applyFill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6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3" fontId="0" fillId="3" borderId="2" xfId="0" applyNumberFormat="1" applyFill="1" applyBorder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3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 vertical="center" wrapText="1"/>
    </xf>
    <xf numFmtId="38" fontId="0" fillId="3" borderId="2" xfId="0" applyNumberForma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6" fontId="0" fillId="3" borderId="2" xfId="0" applyNumberForma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left" indent="1"/>
    </xf>
    <xf numFmtId="38" fontId="0" fillId="0" borderId="8" xfId="0" applyNumberFormat="1" applyBorder="1" applyAlignment="1">
      <alignment horizontal="center"/>
    </xf>
    <xf numFmtId="38" fontId="0" fillId="0" borderId="9" xfId="0" applyNumberFormat="1" applyBorder="1" applyAlignment="1">
      <alignment horizontal="center"/>
    </xf>
    <xf numFmtId="6" fontId="0" fillId="0" borderId="8" xfId="0" applyNumberFormat="1" applyBorder="1"/>
    <xf numFmtId="0" fontId="6" fillId="0" borderId="8" xfId="0" applyFont="1" applyBorder="1" applyAlignment="1">
      <alignment horizontal="left" indent="1"/>
    </xf>
    <xf numFmtId="0" fontId="0" fillId="0" borderId="8" xfId="0" applyFill="1" applyBorder="1"/>
    <xf numFmtId="0" fontId="0" fillId="0" borderId="8" xfId="0" applyFill="1" applyBorder="1" applyAlignment="1">
      <alignment horizontal="right"/>
    </xf>
    <xf numFmtId="0" fontId="0" fillId="0" borderId="8" xfId="0" applyFill="1" applyBorder="1" applyAlignment="1">
      <alignment horizontal="center"/>
    </xf>
    <xf numFmtId="0" fontId="9" fillId="0" borderId="8" xfId="0" applyFont="1" applyFill="1" applyBorder="1" applyAlignment="1"/>
    <xf numFmtId="0" fontId="10" fillId="0" borderId="8" xfId="0" applyFont="1" applyFill="1" applyBorder="1"/>
    <xf numFmtId="0" fontId="6" fillId="0" borderId="8" xfId="0" applyFont="1" applyBorder="1" applyAlignment="1">
      <alignment horizontal="right"/>
    </xf>
    <xf numFmtId="165" fontId="4" fillId="0" borderId="8" xfId="9" applyNumberFormat="1" applyFont="1" applyFill="1" applyBorder="1" applyAlignment="1">
      <alignment horizontal="center"/>
    </xf>
    <xf numFmtId="38" fontId="0" fillId="0" borderId="8" xfId="0" applyNumberFormat="1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" fontId="0" fillId="0" borderId="8" xfId="0" applyNumberFormat="1" applyFill="1" applyBorder="1" applyAlignment="1">
      <alignment horizontal="center"/>
    </xf>
    <xf numFmtId="0" fontId="6" fillId="0" borderId="11" xfId="0" applyFont="1" applyBorder="1" applyAlignment="1">
      <alignment horizontal="right"/>
    </xf>
    <xf numFmtId="165" fontId="4" fillId="0" borderId="11" xfId="9" applyNumberFormat="1" applyFont="1" applyFill="1" applyBorder="1" applyAlignment="1">
      <alignment horizontal="center"/>
    </xf>
    <xf numFmtId="0" fontId="0" fillId="0" borderId="11" xfId="0" applyFill="1" applyBorder="1"/>
    <xf numFmtId="38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right"/>
    </xf>
    <xf numFmtId="3" fontId="0" fillId="0" borderId="11" xfId="0" applyNumberFormat="1" applyFill="1" applyBorder="1" applyAlignment="1">
      <alignment horizontal="center"/>
    </xf>
    <xf numFmtId="8" fontId="0" fillId="0" borderId="8" xfId="0" applyNumberFormat="1" applyFill="1" applyBorder="1"/>
    <xf numFmtId="38" fontId="0" fillId="0" borderId="8" xfId="0" applyNumberFormat="1" applyBorder="1" applyAlignment="1">
      <alignment horizontal="right"/>
    </xf>
    <xf numFmtId="8" fontId="0" fillId="0" borderId="0" xfId="0" applyNumberFormat="1"/>
    <xf numFmtId="2" fontId="0" fillId="0" borderId="0" xfId="0" applyNumberForma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0" fillId="4" borderId="0" xfId="0" applyNumberFormat="1" applyFill="1" applyAlignment="1">
      <alignment horizontal="center"/>
    </xf>
    <xf numFmtId="3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7" fontId="0" fillId="0" borderId="0" xfId="0" applyNumberFormat="1" applyAlignment="1">
      <alignment horizontal="lef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9" fontId="4" fillId="4" borderId="3" xfId="9" applyFill="1" applyBorder="1" applyAlignment="1">
      <alignment horizontal="center" vertical="center"/>
    </xf>
    <xf numFmtId="6" fontId="4" fillId="4" borderId="3" xfId="9" applyNumberFormat="1" applyFill="1" applyBorder="1" applyAlignment="1">
      <alignment horizontal="center" vertical="center"/>
    </xf>
    <xf numFmtId="165" fontId="4" fillId="4" borderId="3" xfId="9" applyNumberForma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Continuous" vertical="center"/>
    </xf>
    <xf numFmtId="165" fontId="4" fillId="5" borderId="3" xfId="9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right"/>
    </xf>
    <xf numFmtId="38" fontId="0" fillId="0" borderId="9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/>
    </xf>
    <xf numFmtId="166" fontId="4" fillId="3" borderId="0" xfId="0" applyNumberFormat="1" applyFont="1" applyFill="1" applyBorder="1" applyAlignment="1">
      <alignment horizontal="left" vertical="center"/>
    </xf>
    <xf numFmtId="166" fontId="4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6" fillId="0" borderId="2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168" fontId="0" fillId="0" borderId="13" xfId="0" applyNumberFormat="1" applyBorder="1"/>
    <xf numFmtId="168" fontId="0" fillId="0" borderId="27" xfId="0" applyNumberFormat="1" applyBorder="1"/>
    <xf numFmtId="0" fontId="0" fillId="0" borderId="33" xfId="0" applyBorder="1" applyAlignment="1">
      <alignment horizontal="center"/>
    </xf>
    <xf numFmtId="0" fontId="0" fillId="0" borderId="2" xfId="0" applyBorder="1"/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/>
    </xf>
    <xf numFmtId="168" fontId="0" fillId="0" borderId="3" xfId="0" applyNumberFormat="1" applyBorder="1"/>
    <xf numFmtId="168" fontId="0" fillId="0" borderId="34" xfId="0" applyNumberFormat="1" applyBorder="1"/>
    <xf numFmtId="0" fontId="0" fillId="0" borderId="35" xfId="0" applyBorder="1" applyAlignment="1">
      <alignment horizontal="center"/>
    </xf>
    <xf numFmtId="0" fontId="0" fillId="0" borderId="4" xfId="0" applyBorder="1"/>
    <xf numFmtId="0" fontId="0" fillId="0" borderId="36" xfId="0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168" fontId="0" fillId="0" borderId="3" xfId="0" applyNumberFormat="1" applyBorder="1" applyAlignment="1">
      <alignment vertical="center"/>
    </xf>
    <xf numFmtId="168" fontId="0" fillId="0" borderId="34" xfId="0" applyNumberFormat="1" applyBorder="1" applyAlignment="1">
      <alignment vertic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/>
    <xf numFmtId="168" fontId="6" fillId="0" borderId="17" xfId="0" applyNumberFormat="1" applyFont="1" applyBorder="1"/>
    <xf numFmtId="168" fontId="6" fillId="0" borderId="30" xfId="0" applyNumberFormat="1" applyFont="1" applyBorder="1"/>
    <xf numFmtId="0" fontId="0" fillId="0" borderId="37" xfId="0" applyBorder="1" applyAlignment="1">
      <alignment horizontal="left" wrapText="1"/>
    </xf>
    <xf numFmtId="166" fontId="18" fillId="3" borderId="0" xfId="0" applyNumberFormat="1" applyFont="1" applyFill="1" applyAlignment="1">
      <alignment horizontal="center"/>
    </xf>
    <xf numFmtId="3" fontId="17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 indent="1"/>
    </xf>
    <xf numFmtId="3" fontId="17" fillId="3" borderId="0" xfId="0" applyNumberFormat="1" applyFont="1" applyFill="1" applyAlignment="1">
      <alignment horizontal="center"/>
    </xf>
    <xf numFmtId="1" fontId="17" fillId="3" borderId="0" xfId="0" applyNumberFormat="1" applyFont="1" applyFill="1" applyAlignment="1">
      <alignment horizontal="center" vertical="center" wrapText="1"/>
    </xf>
    <xf numFmtId="1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5" borderId="0" xfId="0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38" fontId="0" fillId="0" borderId="3" xfId="0" applyNumberFormat="1" applyBorder="1" applyAlignment="1">
      <alignment horizontal="center" vertical="center"/>
    </xf>
    <xf numFmtId="0" fontId="17" fillId="3" borderId="2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vertical="center"/>
    </xf>
    <xf numFmtId="3" fontId="14" fillId="6" borderId="0" xfId="1" applyNumberFormat="1" applyAlignment="1">
      <alignment horizontal="center" vertical="center" wrapText="1"/>
    </xf>
    <xf numFmtId="3" fontId="14" fillId="6" borderId="0" xfId="1" applyNumberFormat="1" applyAlignment="1">
      <alignment vertical="center" wrapText="1"/>
    </xf>
    <xf numFmtId="0" fontId="14" fillId="6" borderId="0" xfId="1" applyAlignment="1">
      <alignment vertical="center" wrapText="1"/>
    </xf>
    <xf numFmtId="3" fontId="14" fillId="6" borderId="0" xfId="1" applyNumberFormat="1" applyAlignment="1">
      <alignment horizontal="center"/>
    </xf>
    <xf numFmtId="1" fontId="14" fillId="6" borderId="0" xfId="1" applyNumberForma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3" fontId="17" fillId="3" borderId="2" xfId="0" applyNumberFormat="1" applyFont="1" applyFill="1" applyBorder="1" applyAlignment="1">
      <alignment vertical="center" wrapText="1"/>
    </xf>
    <xf numFmtId="0" fontId="4" fillId="3" borderId="0" xfId="0" applyFont="1" applyFill="1" applyAlignment="1">
      <alignment horizontal="left" vertical="center" wrapText="1" indent="1"/>
    </xf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/>
    </xf>
    <xf numFmtId="38" fontId="0" fillId="0" borderId="5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left" indent="1"/>
    </xf>
    <xf numFmtId="38" fontId="0" fillId="0" borderId="11" xfId="0" applyNumberForma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0" fontId="0" fillId="0" borderId="6" xfId="0" applyBorder="1"/>
    <xf numFmtId="0" fontId="0" fillId="0" borderId="5" xfId="0" applyBorder="1"/>
    <xf numFmtId="6" fontId="0" fillId="0" borderId="5" xfId="0" applyNumberFormat="1" applyBorder="1"/>
    <xf numFmtId="0" fontId="0" fillId="0" borderId="41" xfId="0" applyBorder="1"/>
    <xf numFmtId="9" fontId="0" fillId="0" borderId="3" xfId="9" applyFont="1" applyBorder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44" fontId="0" fillId="0" borderId="42" xfId="6" applyFont="1" applyBorder="1" applyAlignment="1">
      <alignment vertical="center"/>
    </xf>
    <xf numFmtId="0" fontId="21" fillId="0" borderId="0" xfId="14" applyFont="1" applyAlignment="1">
      <alignment horizontal="center" vertical="center"/>
    </xf>
    <xf numFmtId="0" fontId="21" fillId="0" borderId="0" xfId="14" applyFont="1" applyAlignment="1">
      <alignment vertical="center"/>
    </xf>
    <xf numFmtId="1" fontId="21" fillId="0" borderId="0" xfId="14" applyNumberFormat="1" applyFont="1" applyAlignment="1">
      <alignment horizontal="center" vertical="center"/>
    </xf>
    <xf numFmtId="9" fontId="21" fillId="0" borderId="0" xfId="14" applyNumberFormat="1" applyFont="1" applyAlignment="1">
      <alignment horizontal="center" vertical="center"/>
    </xf>
    <xf numFmtId="0" fontId="0" fillId="0" borderId="43" xfId="0" applyBorder="1"/>
    <xf numFmtId="0" fontId="0" fillId="0" borderId="44" xfId="0" applyFill="1" applyBorder="1"/>
    <xf numFmtId="0" fontId="0" fillId="0" borderId="45" xfId="0" applyBorder="1"/>
    <xf numFmtId="0" fontId="0" fillId="0" borderId="46" xfId="0" applyBorder="1"/>
    <xf numFmtId="3" fontId="0" fillId="11" borderId="3" xfId="0" applyNumberFormat="1" applyFill="1" applyBorder="1" applyAlignment="1">
      <alignment horizontal="center"/>
    </xf>
    <xf numFmtId="0" fontId="0" fillId="0" borderId="43" xfId="0" applyFill="1" applyBorder="1" applyAlignment="1">
      <alignment horizontal="right"/>
    </xf>
    <xf numFmtId="0" fontId="0" fillId="0" borderId="43" xfId="0" applyFill="1" applyBorder="1"/>
    <xf numFmtId="38" fontId="0" fillId="11" borderId="3" xfId="0" applyNumberFormat="1" applyFill="1" applyBorder="1" applyAlignment="1">
      <alignment horizontal="center"/>
    </xf>
    <xf numFmtId="1" fontId="0" fillId="11" borderId="3" xfId="0" applyNumberFormat="1" applyFill="1" applyBorder="1" applyAlignment="1">
      <alignment horizontal="center"/>
    </xf>
    <xf numFmtId="0" fontId="0" fillId="0" borderId="43" xfId="0" applyBorder="1" applyAlignment="1">
      <alignment horizontal="right"/>
    </xf>
    <xf numFmtId="0" fontId="0" fillId="11" borderId="3" xfId="0" applyFill="1" applyBorder="1"/>
    <xf numFmtId="0" fontId="0" fillId="0" borderId="43" xfId="0" applyBorder="1" applyAlignment="1">
      <alignment horizontal="left" indent="1"/>
    </xf>
    <xf numFmtId="38" fontId="0" fillId="0" borderId="44" xfId="0" applyNumberFormat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0" fontId="6" fillId="0" borderId="47" xfId="0" applyFont="1" applyBorder="1" applyAlignment="1">
      <alignment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1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9" fontId="21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4" fillId="3" borderId="2" xfId="0" applyFont="1" applyFill="1" applyBorder="1" applyAlignment="1">
      <alignment vertical="center" wrapText="1"/>
    </xf>
    <xf numFmtId="3" fontId="4" fillId="3" borderId="0" xfId="0" applyNumberFormat="1" applyFont="1" applyFill="1" applyAlignment="1">
      <alignment horizontal="center" vertical="center" wrapText="1"/>
    </xf>
    <xf numFmtId="3" fontId="4" fillId="3" borderId="0" xfId="0" applyNumberFormat="1" applyFont="1" applyFill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/>
    </xf>
    <xf numFmtId="9" fontId="4" fillId="3" borderId="2" xfId="1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0" fillId="2" borderId="1" xfId="8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18" fillId="0" borderId="0" xfId="0" applyFont="1"/>
    <xf numFmtId="0" fontId="4" fillId="0" borderId="0" xfId="17"/>
    <xf numFmtId="0" fontId="6" fillId="0" borderId="0" xfId="17" applyFont="1" applyAlignment="1">
      <alignment horizontal="center" vertical="center" wrapText="1"/>
    </xf>
    <xf numFmtId="0" fontId="4" fillId="0" borderId="0" xfId="17" applyAlignment="1">
      <alignment horizontal="center"/>
    </xf>
    <xf numFmtId="3" fontId="4" fillId="0" borderId="0" xfId="17" applyNumberFormat="1" applyAlignment="1">
      <alignment horizontal="center"/>
    </xf>
    <xf numFmtId="0" fontId="2" fillId="0" borderId="0" xfId="18"/>
    <xf numFmtId="3" fontId="4" fillId="0" borderId="0" xfId="17" applyNumberFormat="1" applyAlignment="1">
      <alignment horizontal="center" vertical="center"/>
    </xf>
    <xf numFmtId="3" fontId="4" fillId="12" borderId="0" xfId="17" applyNumberFormat="1" applyFill="1" applyAlignment="1">
      <alignment horizontal="center" vertical="center"/>
    </xf>
    <xf numFmtId="2" fontId="4" fillId="0" borderId="0" xfId="17" applyNumberFormat="1" applyAlignment="1">
      <alignment horizontal="center"/>
    </xf>
    <xf numFmtId="169" fontId="0" fillId="0" borderId="0" xfId="16" applyNumberFormat="1" applyFont="1"/>
    <xf numFmtId="169" fontId="0" fillId="0" borderId="0" xfId="16" applyNumberFormat="1" applyFont="1" applyAlignment="1">
      <alignment horizontal="center"/>
    </xf>
    <xf numFmtId="166" fontId="4" fillId="3" borderId="0" xfId="0" applyNumberFormat="1" applyFont="1" applyFill="1" applyAlignment="1">
      <alignment horizontal="center"/>
    </xf>
    <xf numFmtId="166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/>
    </xf>
    <xf numFmtId="0" fontId="4" fillId="3" borderId="2" xfId="0" applyFont="1" applyFill="1" applyBorder="1" applyAlignment="1">
      <alignment horizontal="right" vertical="center" wrapText="1"/>
    </xf>
    <xf numFmtId="38" fontId="4" fillId="3" borderId="0" xfId="0" applyNumberFormat="1" applyFont="1" applyFill="1" applyAlignment="1">
      <alignment horizontal="center"/>
    </xf>
    <xf numFmtId="38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 indent="2"/>
    </xf>
    <xf numFmtId="38" fontId="4" fillId="3" borderId="2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/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3" fontId="4" fillId="3" borderId="2" xfId="0" applyNumberFormat="1" applyFont="1" applyFill="1" applyBorder="1"/>
    <xf numFmtId="0" fontId="4" fillId="3" borderId="0" xfId="0" applyFont="1" applyFill="1" applyAlignment="1">
      <alignment horizontal="right"/>
    </xf>
    <xf numFmtId="3" fontId="4" fillId="3" borderId="0" xfId="0" applyNumberFormat="1" applyFont="1" applyFill="1" applyBorder="1" applyAlignment="1">
      <alignment horizontal="center"/>
    </xf>
    <xf numFmtId="3" fontId="4" fillId="3" borderId="0" xfId="0" applyNumberFormat="1" applyFont="1" applyFill="1" applyBorder="1"/>
    <xf numFmtId="6" fontId="4" fillId="3" borderId="2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left"/>
    </xf>
    <xf numFmtId="0" fontId="16" fillId="0" borderId="0" xfId="19" applyFont="1" applyAlignment="1">
      <alignment horizontal="center" vertical="center" wrapText="1"/>
    </xf>
    <xf numFmtId="38" fontId="16" fillId="0" borderId="0" xfId="19" applyNumberFormat="1" applyFont="1" applyAlignment="1">
      <alignment horizontal="center" vertical="center" wrapText="1"/>
    </xf>
    <xf numFmtId="0" fontId="1" fillId="0" borderId="0" xfId="19"/>
    <xf numFmtId="38" fontId="1" fillId="0" borderId="0" xfId="19" applyNumberFormat="1" applyAlignment="1">
      <alignment horizontal="center"/>
    </xf>
    <xf numFmtId="38" fontId="1" fillId="12" borderId="0" xfId="19" applyNumberFormat="1" applyFill="1" applyAlignment="1">
      <alignment horizontal="center"/>
    </xf>
    <xf numFmtId="6" fontId="1" fillId="0" borderId="0" xfId="19" applyNumberFormat="1" applyAlignment="1">
      <alignment horizontal="center"/>
    </xf>
    <xf numFmtId="3" fontId="0" fillId="13" borderId="0" xfId="0" applyNumberFormat="1" applyFill="1" applyAlignment="1">
      <alignment horizontal="center" vertical="center" wrapText="1"/>
    </xf>
    <xf numFmtId="3" fontId="14" fillId="13" borderId="0" xfId="1" applyNumberFormat="1" applyFill="1" applyAlignment="1">
      <alignment horizontal="center" vertical="center" wrapText="1"/>
    </xf>
    <xf numFmtId="3" fontId="17" fillId="13" borderId="0" xfId="0" applyNumberFormat="1" applyFont="1" applyFill="1" applyAlignment="1">
      <alignment horizontal="center" vertical="center" wrapText="1"/>
    </xf>
    <xf numFmtId="3" fontId="4" fillId="13" borderId="0" xfId="0" applyNumberFormat="1" applyFont="1" applyFill="1" applyAlignment="1">
      <alignment horizontal="center" vertical="center" wrapText="1"/>
    </xf>
    <xf numFmtId="3" fontId="0" fillId="13" borderId="2" xfId="0" applyNumberFormat="1" applyFill="1" applyBorder="1" applyAlignment="1">
      <alignment horizontal="center" vertical="center" wrapText="1"/>
    </xf>
    <xf numFmtId="3" fontId="22" fillId="13" borderId="0" xfId="1" applyNumberFormat="1" applyFont="1" applyFill="1" applyAlignment="1">
      <alignment horizontal="center" vertical="center" wrapText="1"/>
    </xf>
    <xf numFmtId="166" fontId="1" fillId="12" borderId="0" xfId="19" applyNumberFormat="1" applyFill="1" applyAlignment="1">
      <alignment horizontal="center"/>
    </xf>
    <xf numFmtId="38" fontId="14" fillId="13" borderId="2" xfId="1" applyNumberFormat="1" applyFill="1" applyBorder="1" applyAlignment="1">
      <alignment horizontal="center" vertical="center" wrapText="1"/>
    </xf>
    <xf numFmtId="3" fontId="14" fillId="13" borderId="2" xfId="1" applyNumberFormat="1" applyFill="1" applyBorder="1" applyAlignment="1">
      <alignment horizontal="center" vertical="center" wrapText="1"/>
    </xf>
    <xf numFmtId="3" fontId="14" fillId="13" borderId="2" xfId="1" applyNumberFormat="1" applyFill="1" applyBorder="1" applyAlignment="1">
      <alignment vertical="center" wrapText="1"/>
    </xf>
    <xf numFmtId="38" fontId="22" fillId="13" borderId="2" xfId="1" applyNumberFormat="1" applyFont="1" applyFill="1" applyBorder="1" applyAlignment="1">
      <alignment horizontal="center" vertical="center" wrapText="1"/>
    </xf>
    <xf numFmtId="3" fontId="22" fillId="13" borderId="2" xfId="1" applyNumberFormat="1" applyFont="1" applyFill="1" applyBorder="1" applyAlignment="1">
      <alignment horizontal="center" vertical="center" wrapText="1"/>
    </xf>
    <xf numFmtId="3" fontId="22" fillId="13" borderId="2" xfId="1" applyNumberFormat="1" applyFont="1" applyFill="1" applyBorder="1" applyAlignment="1">
      <alignment vertical="center" wrapText="1"/>
    </xf>
    <xf numFmtId="0" fontId="4" fillId="13" borderId="0" xfId="0" applyFont="1" applyFill="1" applyAlignment="1">
      <alignment horizontal="left" vertical="center" wrapText="1" indent="1"/>
    </xf>
    <xf numFmtId="0" fontId="0" fillId="13" borderId="0" xfId="0" applyFill="1" applyAlignment="1">
      <alignment horizontal="left" vertical="center" wrapText="1" indent="1"/>
    </xf>
    <xf numFmtId="3" fontId="0" fillId="13" borderId="0" xfId="0" applyNumberFormat="1" applyFill="1" applyAlignment="1">
      <alignment horizontal="center"/>
    </xf>
    <xf numFmtId="3" fontId="0" fillId="13" borderId="0" xfId="0" applyNumberFormat="1" applyFill="1" applyAlignment="1">
      <alignment vertical="center" wrapText="1"/>
    </xf>
    <xf numFmtId="0" fontId="4" fillId="13" borderId="0" xfId="0" applyFont="1" applyFill="1" applyAlignment="1">
      <alignment vertical="center" wrapText="1"/>
    </xf>
    <xf numFmtId="0" fontId="0" fillId="13" borderId="0" xfId="0" applyFill="1" applyAlignment="1">
      <alignment horizontal="left" vertical="center" wrapText="1" indent="2"/>
    </xf>
    <xf numFmtId="0" fontId="7" fillId="13" borderId="0" xfId="0" applyFont="1" applyFill="1" applyAlignment="1">
      <alignment horizontal="left" vertical="center" wrapText="1" indent="1"/>
    </xf>
    <xf numFmtId="3" fontId="14" fillId="13" borderId="0" xfId="1" applyNumberFormat="1" applyFill="1" applyAlignment="1">
      <alignment horizontal="center"/>
    </xf>
    <xf numFmtId="3" fontId="14" fillId="13" borderId="0" xfId="1" applyNumberFormat="1" applyFill="1" applyAlignment="1">
      <alignment vertical="center" wrapText="1"/>
    </xf>
    <xf numFmtId="0" fontId="14" fillId="13" borderId="0" xfId="1" applyFill="1" applyAlignment="1">
      <alignment vertical="center" wrapText="1"/>
    </xf>
    <xf numFmtId="0" fontId="7" fillId="13" borderId="0" xfId="0" applyFont="1" applyFill="1" applyAlignment="1">
      <alignment horizontal="left" vertical="center" wrapText="1" indent="2"/>
    </xf>
    <xf numFmtId="1" fontId="14" fillId="13" borderId="0" xfId="1" applyNumberFormat="1" applyFill="1" applyAlignment="1">
      <alignment horizontal="center" vertical="center" wrapText="1"/>
    </xf>
    <xf numFmtId="0" fontId="7" fillId="13" borderId="0" xfId="0" applyFont="1" applyFill="1" applyAlignment="1">
      <alignment horizontal="center" vertical="center" wrapText="1"/>
    </xf>
    <xf numFmtId="0" fontId="7" fillId="13" borderId="0" xfId="0" applyFont="1" applyFill="1" applyAlignment="1">
      <alignment vertical="center" wrapText="1"/>
    </xf>
    <xf numFmtId="0" fontId="0" fillId="13" borderId="0" xfId="0" applyFill="1" applyAlignment="1">
      <alignment horizontal="center" vertical="center" wrapText="1"/>
    </xf>
    <xf numFmtId="0" fontId="0" fillId="13" borderId="0" xfId="0" applyFill="1" applyAlignment="1">
      <alignment vertical="center" wrapText="1"/>
    </xf>
    <xf numFmtId="3" fontId="4" fillId="13" borderId="0" xfId="0" applyNumberFormat="1" applyFont="1" applyFill="1" applyAlignment="1">
      <alignment vertical="center" wrapText="1"/>
    </xf>
    <xf numFmtId="0" fontId="0" fillId="13" borderId="2" xfId="0" applyFill="1" applyBorder="1" applyAlignment="1">
      <alignment horizontal="left" vertical="center" wrapText="1" indent="1"/>
    </xf>
    <xf numFmtId="0" fontId="0" fillId="13" borderId="0" xfId="0" applyFill="1" applyAlignment="1">
      <alignment horizontal="right" vertical="center" wrapText="1"/>
    </xf>
    <xf numFmtId="0" fontId="6" fillId="13" borderId="0" xfId="0" applyFont="1" applyFill="1" applyAlignment="1">
      <alignment vertical="center" wrapText="1"/>
    </xf>
    <xf numFmtId="0" fontId="4" fillId="13" borderId="2" xfId="0" applyFont="1" applyFill="1" applyBorder="1" applyAlignment="1">
      <alignment horizontal="right" vertical="center" wrapText="1"/>
    </xf>
    <xf numFmtId="0" fontId="4" fillId="13" borderId="2" xfId="0" applyFont="1" applyFill="1" applyBorder="1" applyAlignment="1">
      <alignment horizontal="left" vertical="center" wrapText="1" indent="1"/>
    </xf>
    <xf numFmtId="0" fontId="4" fillId="13" borderId="0" xfId="0" applyFont="1" applyFill="1" applyAlignment="1">
      <alignment horizontal="right" vertical="center" wrapText="1"/>
    </xf>
    <xf numFmtId="0" fontId="4" fillId="13" borderId="0" xfId="0" applyFont="1" applyFill="1" applyAlignment="1">
      <alignment horizontal="left" vertical="center" wrapText="1"/>
    </xf>
    <xf numFmtId="166" fontId="4" fillId="13" borderId="0" xfId="0" applyNumberFormat="1" applyFont="1" applyFill="1" applyAlignment="1">
      <alignment horizontal="center"/>
    </xf>
    <xf numFmtId="0" fontId="4" fillId="13" borderId="0" xfId="0" applyFont="1" applyFill="1"/>
    <xf numFmtId="0" fontId="4" fillId="13" borderId="0" xfId="1" applyFont="1" applyFill="1" applyAlignment="1">
      <alignment vertical="center" wrapText="1"/>
    </xf>
    <xf numFmtId="0" fontId="4" fillId="13" borderId="0" xfId="0" applyFont="1" applyFill="1" applyAlignment="1">
      <alignment horizontal="center" vertical="center" wrapText="1"/>
    </xf>
    <xf numFmtId="3" fontId="22" fillId="13" borderId="0" xfId="1" applyNumberFormat="1" applyFont="1" applyFill="1" applyAlignment="1">
      <alignment vertical="center" wrapText="1"/>
    </xf>
    <xf numFmtId="0" fontId="4" fillId="0" borderId="8" xfId="0" applyFont="1" applyBorder="1" applyAlignment="1">
      <alignment horizontal="left" indent="1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24" fillId="0" borderId="0" xfId="0" applyFont="1" applyAlignment="1">
      <alignment horizontal="left" indent="1"/>
    </xf>
    <xf numFmtId="0" fontId="4" fillId="0" borderId="8" xfId="0" applyFont="1" applyFill="1" applyBorder="1" applyAlignment="1">
      <alignment horizontal="right"/>
    </xf>
    <xf numFmtId="0" fontId="5" fillId="0" borderId="0" xfId="0" applyFont="1" applyAlignment="1">
      <alignment vertical="center"/>
    </xf>
    <xf numFmtId="0" fontId="4" fillId="13" borderId="2" xfId="1" applyFont="1" applyFill="1" applyBorder="1" applyAlignment="1">
      <alignment vertical="center" wrapText="1"/>
    </xf>
    <xf numFmtId="0" fontId="0" fillId="5" borderId="50" xfId="0" applyFill="1" applyBorder="1" applyAlignment="1">
      <alignment horizontal="center" vertical="center"/>
    </xf>
    <xf numFmtId="0" fontId="0" fillId="0" borderId="44" xfId="0" applyBorder="1"/>
    <xf numFmtId="165" fontId="4" fillId="11" borderId="3" xfId="9" applyNumberFormat="1" applyFont="1" applyFill="1" applyBorder="1" applyAlignment="1">
      <alignment horizontal="center"/>
    </xf>
    <xf numFmtId="0" fontId="4" fillId="5" borderId="40" xfId="0" applyFont="1" applyFill="1" applyBorder="1" applyAlignment="1">
      <alignment horizontal="center" vertical="center"/>
    </xf>
    <xf numFmtId="170" fontId="0" fillId="0" borderId="0" xfId="0" applyNumberFormat="1"/>
    <xf numFmtId="38" fontId="6" fillId="0" borderId="9" xfId="0" applyNumberFormat="1" applyFont="1" applyBorder="1" applyAlignment="1">
      <alignment horizontal="left" vertical="center"/>
    </xf>
    <xf numFmtId="38" fontId="6" fillId="0" borderId="12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38" fontId="0" fillId="0" borderId="0" xfId="0" applyNumberFormat="1" applyAlignment="1">
      <alignment horizontal="center" vertical="center"/>
    </xf>
    <xf numFmtId="9" fontId="0" fillId="0" borderId="0" xfId="9" applyFont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11" xfId="0" applyFont="1" applyBorder="1" applyAlignment="1">
      <alignment horizontal="left" indent="1"/>
    </xf>
    <xf numFmtId="0" fontId="4" fillId="0" borderId="11" xfId="0" applyFont="1" applyBorder="1" applyAlignment="1">
      <alignment horizontal="left" indent="2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6" fontId="0" fillId="0" borderId="3" xfId="0" applyNumberForma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0" fillId="10" borderId="0" xfId="13" applyAlignment="1">
      <alignment horizontal="center"/>
    </xf>
    <xf numFmtId="0" fontId="19" fillId="8" borderId="0" xfId="11" applyAlignment="1">
      <alignment horizontal="center"/>
    </xf>
    <xf numFmtId="0" fontId="20" fillId="9" borderId="0" xfId="12" applyAlignment="1">
      <alignment horizontal="center"/>
    </xf>
    <xf numFmtId="166" fontId="4" fillId="3" borderId="0" xfId="0" applyNumberFormat="1" applyFont="1" applyFill="1" applyBorder="1" applyAlignment="1">
      <alignment horizontal="left" vertical="top" wrapText="1"/>
    </xf>
    <xf numFmtId="0" fontId="16" fillId="0" borderId="0" xfId="19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21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9" fontId="4" fillId="0" borderId="0" xfId="9" applyFont="1" applyAlignment="1">
      <alignment horizontal="center" vertical="center"/>
    </xf>
    <xf numFmtId="0" fontId="0" fillId="14" borderId="0" xfId="0" applyFill="1"/>
    <xf numFmtId="2" fontId="0" fillId="14" borderId="0" xfId="0" applyNumberFormat="1" applyFill="1"/>
    <xf numFmtId="38" fontId="0" fillId="0" borderId="51" xfId="0" applyNumberForma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9" fontId="0" fillId="0" borderId="3" xfId="9" applyNumberFormat="1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</cellXfs>
  <cellStyles count="20">
    <cellStyle name="Accent2" xfId="12" builtinId="33"/>
    <cellStyle name="Accent3" xfId="13" builtinId="37"/>
    <cellStyle name="Bad" xfId="1" builtinId="27"/>
    <cellStyle name="Calculation 2" xfId="2"/>
    <cellStyle name="Comma" xfId="16" builtinId="3"/>
    <cellStyle name="Comma 2" xfId="3"/>
    <cellStyle name="Comma 3" xfId="4"/>
    <cellStyle name="Comma 4" xfId="5"/>
    <cellStyle name="Comma 5" xfId="15"/>
    <cellStyle name="Currency" xfId="6" builtinId="4"/>
    <cellStyle name="Neutral" xfId="11" builtinId="28"/>
    <cellStyle name="Normal" xfId="0" builtinId="0"/>
    <cellStyle name="Normal 2" xfId="7"/>
    <cellStyle name="Normal 2 2" xfId="17"/>
    <cellStyle name="Normal 3" xfId="14"/>
    <cellStyle name="Normal 4" xfId="18"/>
    <cellStyle name="Normal 5" xfId="19"/>
    <cellStyle name="Note 2" xfId="8"/>
    <cellStyle name="Percent" xfId="9" builtinId="5"/>
    <cellStyle name="Percent 2" xfId="10"/>
  </cellStyles>
  <dxfs count="28">
    <dxf>
      <font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externalLink" Target="externalLinks/externalLink4.xml"/><Relationship Id="rId55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7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3.xml"/><Relationship Id="rId57" Type="http://schemas.openxmlformats.org/officeDocument/2006/relationships/externalLink" Target="externalLinks/externalLink11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6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2.xml"/><Relationship Id="rId56" Type="http://schemas.openxmlformats.org/officeDocument/2006/relationships/externalLink" Target="externalLinks/externalLink10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1972097886104488E-2"/>
          <c:y val="2.8815523059617546E-2"/>
          <c:w val="0.80279620130471241"/>
          <c:h val="0.89623003374578181"/>
        </c:manualLayout>
      </c:layout>
      <c:scatterChart>
        <c:scatterStyle val="smoothMarker"/>
        <c:ser>
          <c:idx val="0"/>
          <c:order val="0"/>
          <c:trendline>
            <c:trendlineType val="linear"/>
          </c:trendline>
          <c:trendline>
            <c:trendlineType val="linear"/>
            <c:dispEq val="1"/>
            <c:trendlineLbl>
              <c:layout>
                <c:manualLayout>
                  <c:x val="-3.5972163230633513E-4"/>
                  <c:y val="-2.3172290963629546E-2"/>
                </c:manualLayout>
              </c:layout>
              <c:numFmt formatCode="General" sourceLinked="0"/>
            </c:trendlineLbl>
          </c:trendline>
          <c:xVal>
            <c:numRef>
              <c:f>Energy!$W$16:$W$19</c:f>
              <c:numCache>
                <c:formatCode>General</c:formatCode>
                <c:ptCount val="4"/>
                <c:pt idx="0">
                  <c:v>114</c:v>
                </c:pt>
                <c:pt idx="1">
                  <c:v>130</c:v>
                </c:pt>
                <c:pt idx="2">
                  <c:v>174</c:v>
                </c:pt>
                <c:pt idx="3">
                  <c:v>213</c:v>
                </c:pt>
              </c:numCache>
            </c:numRef>
          </c:xVal>
          <c:yVal>
            <c:numRef>
              <c:f>Energy!$X$16:$X$19</c:f>
              <c:numCache>
                <c:formatCode>General</c:formatCode>
                <c:ptCount val="4"/>
                <c:pt idx="0">
                  <c:v>0.9</c:v>
                </c:pt>
                <c:pt idx="1">
                  <c:v>0.95</c:v>
                </c:pt>
                <c:pt idx="2" formatCode="0.00">
                  <c:v>1.1172</c:v>
                </c:pt>
                <c:pt idx="3">
                  <c:v>1.25</c:v>
                </c:pt>
              </c:numCache>
            </c:numRef>
          </c:yVal>
          <c:smooth val="1"/>
        </c:ser>
        <c:ser>
          <c:idx val="1"/>
          <c:order val="1"/>
          <c:trendline>
            <c:trendlineType val="linear"/>
            <c:forward val="2"/>
            <c:backward val="2"/>
            <c:dispEq val="1"/>
            <c:trendlineLbl>
              <c:layout>
                <c:manualLayout>
                  <c:x val="-6.4873394975005716E-2"/>
                  <c:y val="2.1228346456692915E-2"/>
                </c:manualLayout>
              </c:layout>
              <c:numFmt formatCode="General" sourceLinked="0"/>
            </c:trendlineLbl>
          </c:trendline>
          <c:xVal>
            <c:numRef>
              <c:f>Energy!$W$16:$W$19</c:f>
              <c:numCache>
                <c:formatCode>General</c:formatCode>
                <c:ptCount val="4"/>
                <c:pt idx="0">
                  <c:v>114</c:v>
                </c:pt>
                <c:pt idx="1">
                  <c:v>130</c:v>
                </c:pt>
                <c:pt idx="2">
                  <c:v>174</c:v>
                </c:pt>
                <c:pt idx="3">
                  <c:v>213</c:v>
                </c:pt>
              </c:numCache>
            </c:numRef>
          </c:xVal>
          <c:yVal>
            <c:numRef>
              <c:f>Energy!$Z$16:$Z$19</c:f>
              <c:numCache>
                <c:formatCode>General</c:formatCode>
                <c:ptCount val="4"/>
                <c:pt idx="0">
                  <c:v>4.26</c:v>
                </c:pt>
                <c:pt idx="1">
                  <c:v>4.55</c:v>
                </c:pt>
                <c:pt idx="2" formatCode="0.00">
                  <c:v>5.2134999999999998</c:v>
                </c:pt>
                <c:pt idx="3">
                  <c:v>5.82</c:v>
                </c:pt>
              </c:numCache>
            </c:numRef>
          </c:yVal>
          <c:smooth val="1"/>
        </c:ser>
        <c:axId val="83410304"/>
        <c:axId val="83408768"/>
      </c:scatterChart>
      <c:valAx>
        <c:axId val="83410304"/>
        <c:scaling>
          <c:orientation val="minMax"/>
        </c:scaling>
        <c:axPos val="b"/>
        <c:minorGridlines/>
        <c:numFmt formatCode="General" sourceLinked="1"/>
        <c:tickLblPos val="nextTo"/>
        <c:crossAx val="83408768"/>
        <c:crosses val="autoZero"/>
        <c:crossBetween val="midCat"/>
      </c:valAx>
      <c:valAx>
        <c:axId val="83408768"/>
        <c:scaling>
          <c:orientation val="minMax"/>
        </c:scaling>
        <c:axPos val="l"/>
        <c:majorGridlines/>
        <c:numFmt formatCode="General" sourceLinked="1"/>
        <c:tickLblPos val="nextTo"/>
        <c:crossAx val="83410304"/>
        <c:crosses val="autoZero"/>
        <c:crossBetween val="midCat"/>
      </c:valAx>
    </c:plotArea>
    <c:legend>
      <c:legendPos val="r"/>
      <c:layout/>
    </c:legend>
    <c:plotVisOnly val="1"/>
    <c:dispBlanksAs val="span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4153018372703438"/>
          <c:y val="7.4405390047893524E-2"/>
          <c:w val="0.75762204724409565"/>
          <c:h val="0.79596431889312802"/>
        </c:manualLayout>
      </c:layout>
      <c:lineChart>
        <c:grouping val="standard"/>
        <c:ser>
          <c:idx val="3"/>
          <c:order val="0"/>
          <c:tx>
            <c:strRef>
              <c:f>'Penstock Costs'!$F$1</c:f>
              <c:strCache>
                <c:ptCount val="1"/>
                <c:pt idx="0">
                  <c:v>Cost/FT</c:v>
                </c:pt>
              </c:strCache>
            </c:strRef>
          </c:tx>
          <c:marker>
            <c:symbol val="none"/>
          </c:marker>
          <c:trendline>
            <c:trendlineType val="poly"/>
            <c:order val="2"/>
            <c:dispEq val="1"/>
            <c:trendlineLbl>
              <c:layout>
                <c:manualLayout>
                  <c:x val="0.10593110236220472"/>
                  <c:y val="0.13837160979877502"/>
                </c:manualLayout>
              </c:layout>
              <c:numFmt formatCode="#,##0.00000" sourceLinked="0"/>
            </c:trendlineLbl>
          </c:trendline>
          <c:cat>
            <c:numRef>
              <c:f>'Penstock Costs'!$C$10:$C$13</c:f>
              <c:numCache>
                <c:formatCode>#,##0_);[Red]\(#,##0\)</c:formatCode>
                <c:ptCount val="4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3">
                  <c:v>12</c:v>
                </c:pt>
              </c:numCache>
            </c:numRef>
          </c:cat>
          <c:val>
            <c:numRef>
              <c:f>'Penstock Costs'!$F$10:$F$13</c:f>
              <c:numCache>
                <c:formatCode>#,##0_);[Red]\(#,##0\)</c:formatCode>
                <c:ptCount val="4"/>
                <c:pt idx="0">
                  <c:v>427.08333333333326</c:v>
                </c:pt>
                <c:pt idx="1">
                  <c:v>480</c:v>
                </c:pt>
                <c:pt idx="2">
                  <c:v>632.08333333333326</c:v>
                </c:pt>
                <c:pt idx="3">
                  <c:v>680</c:v>
                </c:pt>
              </c:numCache>
            </c:numRef>
          </c:val>
        </c:ser>
        <c:marker val="1"/>
        <c:axId val="233585280"/>
        <c:axId val="280216320"/>
      </c:lineChart>
      <c:dateAx>
        <c:axId val="233585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Dia (FT)</a:t>
                </a:r>
              </a:p>
            </c:rich>
          </c:tx>
          <c:layout/>
        </c:title>
        <c:numFmt formatCode="#,##0_);[Red]\(#,##0\)" sourceLinked="1"/>
        <c:tickLblPos val="nextTo"/>
        <c:crossAx val="280216320"/>
        <c:crosses val="autoZero"/>
        <c:lblOffset val="100"/>
        <c:baseTimeUnit val="days"/>
      </c:dateAx>
      <c:valAx>
        <c:axId val="2802163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Cost/FT</a:t>
                </a:r>
              </a:p>
            </c:rich>
          </c:tx>
          <c:layout>
            <c:manualLayout>
              <c:xMode val="edge"/>
              <c:yMode val="edge"/>
              <c:x val="9.7222222222222224E-3"/>
              <c:y val="0.39000496072011653"/>
            </c:manualLayout>
          </c:layout>
        </c:title>
        <c:numFmt formatCode="#,##0_);[Red]\(#,##0\)" sourceLinked="1"/>
        <c:tickLblPos val="nextTo"/>
        <c:crossAx val="233585280"/>
        <c:crosses val="autoZero"/>
        <c:crossBetween val="midCat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23276916937845296"/>
          <c:y val="5.6030183727034118E-2"/>
          <c:w val="0.66475373642244162"/>
          <c:h val="0.72332530557086461"/>
        </c:manualLayout>
      </c:layout>
      <c:lineChart>
        <c:grouping val="standard"/>
        <c:ser>
          <c:idx val="2"/>
          <c:order val="0"/>
          <c:spPr>
            <a:ln w="19050"/>
          </c:spPr>
          <c:marker>
            <c:symbol val="none"/>
          </c:marker>
          <c:dPt>
            <c:idx val="1"/>
            <c:spPr>
              <a:ln w="19050">
                <a:solidFill>
                  <a:srgbClr val="FF0000"/>
                </a:solidFill>
              </a:ln>
            </c:spPr>
          </c:dPt>
          <c:dPt>
            <c:idx val="2"/>
            <c:spPr>
              <a:ln w="19050">
                <a:solidFill>
                  <a:srgbClr val="FF0000"/>
                </a:solidFill>
              </a:ln>
            </c:spPr>
          </c:dPt>
          <c:dPt>
            <c:idx val="3"/>
            <c:spPr>
              <a:ln w="19050">
                <a:solidFill>
                  <a:srgbClr val="FF0000"/>
                </a:solidFill>
              </a:ln>
            </c:spPr>
          </c:dPt>
          <c:trendline>
            <c:spPr>
              <a:ln w="22225"/>
            </c:spPr>
            <c:trendlineType val="log"/>
            <c:dispEq val="1"/>
            <c:trendlineLbl>
              <c:layout>
                <c:manualLayout>
                  <c:x val="2.7351891506067132E-2"/>
                  <c:y val="0.20653543307086653"/>
                </c:manualLayout>
              </c:layout>
              <c:numFmt formatCode="#,##0.00000" sourceLinked="0"/>
            </c:trendlineLbl>
          </c:trendline>
          <c:cat>
            <c:numRef>
              <c:f>'Pwrhse Cost Estimator'!$B$2:$B$5</c:f>
              <c:numCache>
                <c:formatCode>#,##0</c:formatCode>
                <c:ptCount val="4"/>
                <c:pt idx="0">
                  <c:v>1050</c:v>
                </c:pt>
                <c:pt idx="1">
                  <c:v>1500</c:v>
                </c:pt>
                <c:pt idx="2">
                  <c:v>1700</c:v>
                </c:pt>
                <c:pt idx="3">
                  <c:v>3000</c:v>
                </c:pt>
              </c:numCache>
            </c:numRef>
          </c:cat>
          <c:val>
            <c:numRef>
              <c:f>'Pwrhse Cost Estimator'!$D$2:$D$5</c:f>
              <c:numCache>
                <c:formatCode>#,##0</c:formatCode>
                <c:ptCount val="4"/>
                <c:pt idx="0">
                  <c:v>500486.3970588235</c:v>
                </c:pt>
                <c:pt idx="1">
                  <c:v>617479.5955882353</c:v>
                </c:pt>
                <c:pt idx="2">
                  <c:v>922465.78237706062</c:v>
                </c:pt>
                <c:pt idx="3">
                  <c:v>825330.25624999998</c:v>
                </c:pt>
              </c:numCache>
            </c:numRef>
          </c:val>
        </c:ser>
        <c:marker val="1"/>
        <c:axId val="280439040"/>
        <c:axId val="280449408"/>
      </c:lineChart>
      <c:dateAx>
        <c:axId val="280439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Runner Dia (mm)</a:t>
                </a:r>
              </a:p>
            </c:rich>
          </c:tx>
          <c:layout/>
        </c:title>
        <c:numFmt formatCode="#,##0" sourceLinked="1"/>
        <c:tickLblPos val="nextTo"/>
        <c:crossAx val="280449408"/>
        <c:crosses val="autoZero"/>
        <c:lblOffset val="100"/>
        <c:baseTimeUnit val="months"/>
        <c:majorUnit val="10"/>
        <c:majorTimeUnit val="months"/>
      </c:dateAx>
      <c:valAx>
        <c:axId val="2804494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Powerhouse Civil Costs $$</a:t>
                </a:r>
              </a:p>
            </c:rich>
          </c:tx>
          <c:layout/>
        </c:title>
        <c:numFmt formatCode="#,##0" sourceLinked="1"/>
        <c:tickLblPos val="nextTo"/>
        <c:crossAx val="280439040"/>
        <c:crosses val="autoZero"/>
        <c:crossBetween val="midCat"/>
      </c:valAx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1"/>
          <c:order val="0"/>
          <c:tx>
            <c:strRef>
              <c:f>'TG Costs'!$I$1</c:f>
              <c:strCache>
                <c:ptCount val="1"/>
                <c:pt idx="0">
                  <c:v>2010 Price ($1,000's)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trendline>
            <c:trendlineType val="poly"/>
            <c:order val="2"/>
            <c:dispEq val="1"/>
            <c:trendlineLbl>
              <c:layout/>
              <c:numFmt formatCode="#,##0.00000" sourceLinked="0"/>
            </c:trendlineLbl>
          </c:trendline>
          <c:cat>
            <c:numRef>
              <c:f>'TG Costs'!$H$2:$H$6</c:f>
              <c:numCache>
                <c:formatCode>#,##0</c:formatCode>
                <c:ptCount val="5"/>
                <c:pt idx="0">
                  <c:v>850</c:v>
                </c:pt>
                <c:pt idx="1">
                  <c:v>1050</c:v>
                </c:pt>
                <c:pt idx="2">
                  <c:v>1290</c:v>
                </c:pt>
                <c:pt idx="3">
                  <c:v>1800</c:v>
                </c:pt>
                <c:pt idx="4">
                  <c:v>3000</c:v>
                </c:pt>
              </c:numCache>
            </c:numRef>
          </c:cat>
          <c:val>
            <c:numRef>
              <c:f>'TG Costs'!$I$2:$I$6</c:f>
              <c:numCache>
                <c:formatCode>#,##0</c:formatCode>
                <c:ptCount val="5"/>
                <c:pt idx="0">
                  <c:v>360</c:v>
                </c:pt>
                <c:pt idx="1">
                  <c:v>500</c:v>
                </c:pt>
                <c:pt idx="2">
                  <c:v>900</c:v>
                </c:pt>
                <c:pt idx="3">
                  <c:v>1140</c:v>
                </c:pt>
                <c:pt idx="4">
                  <c:v>3170</c:v>
                </c:pt>
              </c:numCache>
            </c:numRef>
          </c:val>
        </c:ser>
        <c:marker val="1"/>
        <c:axId val="280602496"/>
        <c:axId val="280604032"/>
      </c:lineChart>
      <c:dateAx>
        <c:axId val="280602496"/>
        <c:scaling>
          <c:orientation val="minMax"/>
        </c:scaling>
        <c:axPos val="b"/>
        <c:numFmt formatCode="#,##0" sourceLinked="1"/>
        <c:tickLblPos val="nextTo"/>
        <c:crossAx val="280604032"/>
        <c:crosses val="autoZero"/>
        <c:lblOffset val="100"/>
        <c:baseTimeUnit val="months"/>
        <c:majorUnit val="10"/>
        <c:majorTimeUnit val="months"/>
      </c:dateAx>
      <c:valAx>
        <c:axId val="280604032"/>
        <c:scaling>
          <c:orientation val="minMax"/>
        </c:scaling>
        <c:axPos val="l"/>
        <c:majorGridlines/>
        <c:numFmt formatCode="#,##0" sourceLinked="1"/>
        <c:tickLblPos val="nextTo"/>
        <c:crossAx val="280602496"/>
        <c:crosses val="autoZero"/>
        <c:crossBetween val="between"/>
      </c:valAx>
    </c:plotArea>
    <c:legend>
      <c:legendPos val="t"/>
      <c:layout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381000</xdr:colOff>
      <xdr:row>20</xdr:row>
      <xdr:rowOff>673100</xdr:rowOff>
    </xdr:from>
    <xdr:to>
      <xdr:col>30</xdr:col>
      <xdr:colOff>431800</xdr:colOff>
      <xdr:row>52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511175</xdr:colOff>
      <xdr:row>25</xdr:row>
      <xdr:rowOff>68262</xdr:rowOff>
    </xdr:from>
    <xdr:to>
      <xdr:col>6</xdr:col>
      <xdr:colOff>139700</xdr:colOff>
      <xdr:row>41</xdr:row>
      <xdr:rowOff>173037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425449</xdr:colOff>
      <xdr:row>6</xdr:row>
      <xdr:rowOff>127000</xdr:rowOff>
    </xdr:from>
    <xdr:to>
      <xdr:col>4</xdr:col>
      <xdr:colOff>577849</xdr:colOff>
      <xdr:row>23</xdr:row>
      <xdr:rowOff>150812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423335</xdr:colOff>
      <xdr:row>30</xdr:row>
      <xdr:rowOff>31750</xdr:rowOff>
    </xdr:from>
    <xdr:to>
      <xdr:col>5</xdr:col>
      <xdr:colOff>687919</xdr:colOff>
      <xdr:row>47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l%20Users/temp/Temporary%20Internet%20Files/Content.Outlook/U0J0R0RN/Pawtuxet%20Energy_6-17-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sex%20Partnership/Projects/Active/Pawtuxet%20Hydros-EP/Energy/Paw%20Energy-Mavel_7-14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ssex%20Partnership\Projects\Active\East%20Providence\Energy\E%20Prov_Energy_1-07-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ssex%20Partnership/Projects/Active/Pawtuxet%20Hydros-EP/EDC/Initial%20Findings/Pawtuxet%20Energy_6-17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sex%20Partnership/Projects/Active/Alden/Arkwright/Economics/Proforma_10-2-09_R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ssex%20Partnership/Projects/Active/CargillFalls/Proformas/CHC_6-11-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sex%20Partnership/Projects/Active/EDC/Proformas/Pawtuxet%20R%20Hydro%20Proforma_9-13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etrillo/Local%20Settings/Temporary%20Internet%20Files/Content.Outlook/MNHVPEMG/proforma_04-28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sex%20Partnership/Projects/Active/GMP/Gorge/Proformas/Gorge_Model_7-10-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sex%20Partnership/Projects/Active/Dexter-Russell/Hydro%20Feasibility%20Study/proforma_05-13-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l%20Users/temp/Temporary%20Internet%20Files/Content.Outlook/U0J0R0RN/Blackstone_7-13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lowData"/>
      <sheetName val="Min Flow"/>
      <sheetName val="HW TW"/>
      <sheetName val="Efficiency"/>
      <sheetName val="Energy"/>
      <sheetName val="Summary"/>
    </sheetNames>
    <sheetDataSet>
      <sheetData sheetId="0" refreshError="1"/>
      <sheetData sheetId="1" refreshError="1"/>
      <sheetData sheetId="2" refreshError="1"/>
      <sheetData sheetId="3">
        <row r="34">
          <cell r="G34">
            <v>1.6056703100090603E-5</v>
          </cell>
        </row>
        <row r="35">
          <cell r="G35">
            <v>5.4896720991845498E-2</v>
          </cell>
        </row>
      </sheetData>
      <sheetData sheetId="4" refreshError="1"/>
      <sheetData sheetId="5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Energy Summary"/>
      <sheetName val="TrbnPro"/>
      <sheetName val="Pawt Rating Curves"/>
      <sheetName val="Pontiac Energy"/>
      <sheetName val="Natick Energy"/>
      <sheetName val="Phenix Energy"/>
      <sheetName val="Harris Energy"/>
      <sheetName val="Bradford Energy"/>
      <sheetName val="Centerville Energy"/>
      <sheetName val="Crompton L Energy"/>
      <sheetName val="Crompton U Energy"/>
      <sheetName val="Quidnick L Energy"/>
      <sheetName val="Quidnick U Energy"/>
      <sheetName val="Anthony Energy"/>
      <sheetName val="Washington Energy"/>
      <sheetName val="Flat River Energy"/>
      <sheetName val="Pawt Flow Duration"/>
    </sheetNames>
    <sheetDataSet>
      <sheetData sheetId="0"/>
      <sheetData sheetId="1">
        <row r="4">
          <cell r="B4">
            <v>65</v>
          </cell>
          <cell r="G4">
            <v>65</v>
          </cell>
        </row>
        <row r="23">
          <cell r="B23">
            <v>150</v>
          </cell>
          <cell r="G23">
            <v>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Energy Summary"/>
      <sheetName val="Energy C Francis (repowered)"/>
      <sheetName val="Energy E Francis (repowered)"/>
      <sheetName val="Energy E Francis (restored)"/>
      <sheetName val="Energy E Repowered Francis No"/>
      <sheetName val="Energy B Kaplan Full"/>
      <sheetName val="Energy B Kaplan Half"/>
      <sheetName val="Energy B Kaplan No"/>
      <sheetName val="Energy C Kaplan Full"/>
      <sheetName val="Energy C Kaplan Half"/>
      <sheetName val="Energy C Kaplan No"/>
      <sheetName val="Energy E Kaplan Full"/>
      <sheetName val="Energy E Kaplan Half"/>
      <sheetName val="Energy E Kaplan No"/>
      <sheetName val="Energy ADF Kaplan"/>
      <sheetName val="HW-TW"/>
      <sheetName val="MinFlows"/>
      <sheetName val="MinFlowsHalf"/>
      <sheetName val="Hydraulics"/>
      <sheetName val="Efficiency"/>
      <sheetName val="HW-TW Hunts"/>
      <sheetName val="TrbnP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2">
          <cell r="U22">
            <v>814.63963109822623</v>
          </cell>
        </row>
        <row r="25">
          <cell r="AG25">
            <v>0.38295844228362513</v>
          </cell>
          <cell r="AI25">
            <v>270.63395710237586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lowData"/>
      <sheetName val="Min Flow"/>
      <sheetName val="HW TW"/>
      <sheetName val="Efficiency"/>
      <sheetName val="Energy"/>
      <sheetName val="Summary"/>
    </sheetNames>
    <sheetDataSet>
      <sheetData sheetId="0" refreshError="1"/>
      <sheetData sheetId="1" refreshError="1"/>
      <sheetData sheetId="2" refreshError="1"/>
      <sheetData sheetId="3">
        <row r="34">
          <cell r="G34">
            <v>1.6056703100090603E-5</v>
          </cell>
        </row>
        <row r="35">
          <cell r="G35">
            <v>5.4896720991845498E-2</v>
          </cell>
        </row>
      </sheetData>
      <sheetData sheetId="4" refreshError="1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conomic Summary"/>
      <sheetName val="West Siphon Turbine"/>
      <sheetName val="Arkwright Siphon"/>
      <sheetName val="2 Siphon Turbines (East)"/>
      <sheetName val="Arkwright Bulb"/>
      <sheetName val="Energy Summary"/>
      <sheetName val="Forward Pricing"/>
      <sheetName val="Inputs"/>
      <sheetName val="Licensing Costs"/>
      <sheetName val="Energy Summary (2)"/>
      <sheetName val="Sheet2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>
        <row r="2">
          <cell r="B2">
            <v>2010</v>
          </cell>
        </row>
        <row r="3">
          <cell r="B3">
            <v>0.08</v>
          </cell>
        </row>
        <row r="4">
          <cell r="B4">
            <v>2.5000000000000001E-2</v>
          </cell>
        </row>
        <row r="5">
          <cell r="B5">
            <v>2.5000000000000001E-2</v>
          </cell>
        </row>
        <row r="6">
          <cell r="B6">
            <v>2.5000000000000001E-2</v>
          </cell>
        </row>
        <row r="7">
          <cell r="B7">
            <v>2.5000000000000001E-2</v>
          </cell>
        </row>
        <row r="9">
          <cell r="B9">
            <v>2.5000000000000001E-2</v>
          </cell>
        </row>
        <row r="11">
          <cell r="B11">
            <v>2.5000000000000001E-2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osts"/>
      <sheetName val="Proforma"/>
      <sheetName val="Alts"/>
    </sheetNames>
    <sheetDataSet>
      <sheetData sheetId="0"/>
      <sheetData sheetId="1">
        <row r="25">
          <cell r="E25">
            <v>2.5000000000000001E-2</v>
          </cell>
          <cell r="H25">
            <v>0.08</v>
          </cell>
          <cell r="K25">
            <v>4979</v>
          </cell>
          <cell r="N25">
            <v>0.63600000000000001</v>
          </cell>
        </row>
        <row r="27">
          <cell r="E27">
            <v>7.0000000000000007E-2</v>
          </cell>
          <cell r="H27">
            <v>2.5000000000000001E-2</v>
          </cell>
          <cell r="K27">
            <v>2</v>
          </cell>
          <cell r="Q27">
            <v>0.2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ummary Debt"/>
      <sheetName val="Roll Up - Bulbs-A"/>
      <sheetName val="Roll Up - Bulbs-B"/>
      <sheetName val="Roll Up - Bulbs-C"/>
      <sheetName val="Roll Up - Bulbs-D"/>
      <sheetName val="Roll Up - Bulbs-E"/>
      <sheetName val="Roll Up - Bulbs-F"/>
      <sheetName val="Summary All Equity"/>
      <sheetName val="Energy Summary"/>
      <sheetName val="Roll Up - Siphons"/>
      <sheetName val="Roll Up - Pits"/>
      <sheetName val="Phenix Proforma 1 Siphon"/>
      <sheetName val="Phenix Proforma Bulb"/>
      <sheetName val="Harris Proforma 1 Siphon"/>
      <sheetName val="Harris Proforma Bulb"/>
      <sheetName val="Arkwright Proforma 1 Siphon"/>
      <sheetName val="Arkwright Proforma Bulb"/>
      <sheetName val="Washington Proforma 1 Siphon"/>
      <sheetName val="Washington Proforma Bulb"/>
      <sheetName val="Anthony Proforma 1 Siphon"/>
      <sheetName val="Anthony Proforma Bulb"/>
      <sheetName val="Quidnick U Proforma 1 Siphon"/>
      <sheetName val="Quidnick U Proforma Bulb"/>
      <sheetName val="Quidnick L Proforma 1 Siphon"/>
      <sheetName val="Quidnick L Proforma Bulb"/>
      <sheetName val="Crompton U Proforma 1 Siphon"/>
      <sheetName val="Crompton U Proforma Bulb"/>
      <sheetName val="Crompton L Proforma 1 Siphon"/>
      <sheetName val="Crompton L Proforma Bulb"/>
      <sheetName val="Centerville Proforma 1 Siphon"/>
      <sheetName val="Centerville Proforma Bulb"/>
      <sheetName val="Bradford Proforma 1 Siphon"/>
      <sheetName val="Bradford Proforma Bulb"/>
      <sheetName val="Natick Proforma 2 Siphons"/>
      <sheetName val="Natick Proforma Bulb"/>
      <sheetName val="Pontiac 2 Siphons"/>
      <sheetName val="Pontiac Bulb"/>
      <sheetName val="Flat Rive Proforma 1 Siphon"/>
      <sheetName val="Flat Rive Proforma Bulb"/>
      <sheetName val="Costs 1 Siphon"/>
      <sheetName val="Costs 2 Siphons"/>
      <sheetName val="Costs 1m Pit"/>
      <sheetName val="Costs 1.5m Pit"/>
      <sheetName val="Phase I Dam Repairs"/>
      <sheetName val="TG Costs"/>
      <sheetName val="Gage Comparison"/>
    </sheetNames>
    <sheetDataSet>
      <sheetData sheetId="0" refreshError="1"/>
      <sheetData sheetId="1">
        <row r="50">
          <cell r="N50">
            <v>0.29650787404576712</v>
          </cell>
          <cell r="Q50">
            <v>0.05</v>
          </cell>
          <cell r="T50">
            <v>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M2">
            <v>0.25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>
        <row r="12">
          <cell r="D12">
            <v>502.24999999999994</v>
          </cell>
        </row>
      </sheetData>
      <sheetData sheetId="4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sts CHC @ Dam"/>
      <sheetName val="Proforma CHC @ Dam"/>
      <sheetName val="Costs Mavel @ Dam"/>
      <sheetName val="Proforma Mavel @ Dam"/>
      <sheetName val="Costs 2Mavels @ Dam"/>
      <sheetName val="Costs CHC DS"/>
      <sheetName val="Proforma CHC DS"/>
      <sheetName val="Costs Toshiba DS "/>
      <sheetName val="ProformaToshiba DS "/>
      <sheetName val="Dimensions"/>
    </sheetNames>
    <sheetDataSet>
      <sheetData sheetId="0" refreshError="1"/>
      <sheetData sheetId="1" refreshError="1">
        <row r="24">
          <cell r="E24">
            <v>2.5000000000000001E-2</v>
          </cell>
          <cell r="H24">
            <v>0.08</v>
          </cell>
          <cell r="K24">
            <v>1833</v>
          </cell>
          <cell r="N24">
            <v>0.188</v>
          </cell>
          <cell r="Q24">
            <v>275</v>
          </cell>
        </row>
        <row r="26">
          <cell r="E26">
            <v>87.8</v>
          </cell>
          <cell r="K26">
            <v>25</v>
          </cell>
          <cell r="N26">
            <v>2.5</v>
          </cell>
          <cell r="Q26">
            <v>75.63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16MW Wartsila Oil"/>
      <sheetName val="16MW Wartsila SCR"/>
      <sheetName val="25MW Wartsila Oil"/>
      <sheetName val="25MW Wartsila SCR"/>
      <sheetName val="15MW Solar Oil"/>
      <sheetName val="29MW SwiftPac Oil"/>
      <sheetName val="48MW LM6000 Oil"/>
      <sheetName val="16MW Wartsila Gas"/>
      <sheetName val="25MW Wartsila Gas"/>
      <sheetName val="15MW Solar Gas"/>
      <sheetName val="29MW SwiftPac Gas"/>
      <sheetName val="48MW LM6000 Gas"/>
      <sheetName val="INPUTS"/>
      <sheetName val="FORWARD PRICING"/>
      <sheetName val="Cost Summary"/>
      <sheetName val="Fixed O&amp;M"/>
      <sheetName val="Variable O&amp;M"/>
      <sheetName val="Gas Fired Air Emissions Summary"/>
      <sheetName val="Oil Fired Air Emissions Summary"/>
      <sheetName val="2 Wartsila"/>
      <sheetName val="3 Wartsila"/>
      <sheetName val="2 Wartsila Gas"/>
      <sheetName val="3 Wartsila Gas"/>
      <sheetName val="2 Wartsila SCR"/>
      <sheetName val="3 Wartsila SCR"/>
      <sheetName val="Solar Titan"/>
      <sheetName val="Solar Titan Gas"/>
      <sheetName val="Swift Pac"/>
      <sheetName val="Swift Pac Gas"/>
      <sheetName val="LM 6000"/>
      <sheetName val="LM 6000 Gas"/>
      <sheetName val="Costs"/>
      <sheetName val="CashFlow"/>
      <sheetName val="EFOR"/>
      <sheetName val="Solar Titan Gas (2)"/>
      <sheetName val="Solar Titan Gas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Costs Spillway Pit Turb"/>
      <sheetName val="Proforma Spillway Pit Turb"/>
      <sheetName val="Costs Spillway Fixed Blade Turb"/>
      <sheetName val="Proforma Spillway FB Turb"/>
      <sheetName val="Costs 2 Spillway FB Turbs"/>
      <sheetName val="Proforma 2 Spillway FB Turbs"/>
      <sheetName val="Costs Penstock Pit Turbine"/>
      <sheetName val="Proforma Penstock Pit Turbine"/>
      <sheetName val="Costs Penstock FB Turbine"/>
      <sheetName val="Proforma Penstock FB Turbine"/>
      <sheetName val="Dimensions"/>
    </sheetNames>
    <sheetDataSet>
      <sheetData sheetId="0">
        <row r="3">
          <cell r="D3">
            <v>400000</v>
          </cell>
          <cell r="H3">
            <v>0.3</v>
          </cell>
        </row>
      </sheetData>
      <sheetData sheetId="1"/>
      <sheetData sheetId="2">
        <row r="24">
          <cell r="E24">
            <v>2.5000000000000001E-2</v>
          </cell>
        </row>
        <row r="26">
          <cell r="Q26">
            <v>75.63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lkstn Rating Curves"/>
      <sheetName val="Inputs"/>
      <sheetName val="Energy"/>
      <sheetName val="Manville Energy"/>
      <sheetName val="Ashton Energy"/>
      <sheetName val="Albion Energy"/>
      <sheetName val="TrbnPro"/>
    </sheetNames>
    <sheetDataSet>
      <sheetData sheetId="0"/>
      <sheetData sheetId="1" refreshError="1"/>
      <sheetData sheetId="2"/>
      <sheetData sheetId="3"/>
      <sheetData sheetId="4"/>
      <sheetData sheetId="5"/>
      <sheetData sheetId="6">
        <row r="3">
          <cell r="B3">
            <v>163.75198610174684</v>
          </cell>
        </row>
        <row r="22">
          <cell r="B22">
            <v>1637.5198610174684</v>
          </cell>
        </row>
        <row r="25">
          <cell r="E25">
            <v>5.5939439018801905E-7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tabSelected="1" workbookViewId="0">
      <selection activeCell="C12" sqref="C12"/>
    </sheetView>
  </sheetViews>
  <sheetFormatPr defaultRowHeight="12.75"/>
  <cols>
    <col min="1" max="1" width="7.42578125" customWidth="1"/>
    <col min="3" max="5" width="10.7109375" customWidth="1"/>
  </cols>
  <sheetData>
    <row r="1" spans="1:6" ht="18" customHeight="1">
      <c r="C1" s="368" t="s">
        <v>407</v>
      </c>
      <c r="D1" s="368"/>
      <c r="E1" s="368"/>
    </row>
    <row r="2" spans="1:6" s="236" customFormat="1" ht="38.25">
      <c r="A2" s="236" t="s">
        <v>211</v>
      </c>
      <c r="B2" s="236" t="s">
        <v>406</v>
      </c>
      <c r="C2" s="236" t="s">
        <v>401</v>
      </c>
      <c r="D2" s="236" t="s">
        <v>402</v>
      </c>
      <c r="E2" s="236" t="s">
        <v>403</v>
      </c>
    </row>
    <row r="3" spans="1:6" s="55" customFormat="1" ht="15" customHeight="1">
      <c r="A3" s="108" t="s">
        <v>404</v>
      </c>
    </row>
    <row r="4" spans="1:6" s="55" customFormat="1" ht="15" customHeight="1">
      <c r="A4" s="348" t="s">
        <v>165</v>
      </c>
      <c r="B4" s="59">
        <f>Energy!$G$4</f>
        <v>14.5</v>
      </c>
      <c r="C4" s="57">
        <f>Energy!$J$4</f>
        <v>715.44874771642424</v>
      </c>
      <c r="D4" s="57">
        <f>Energy!$J$4</f>
        <v>715.44874771642424</v>
      </c>
      <c r="E4" s="57">
        <f>Energy!$J$4</f>
        <v>715.44874771642424</v>
      </c>
      <c r="F4" s="59"/>
    </row>
    <row r="5" spans="1:6" s="55" customFormat="1" ht="15" customHeight="1">
      <c r="A5" s="348" t="s">
        <v>166</v>
      </c>
      <c r="B5" s="134">
        <f>Energy!$G$5</f>
        <v>22</v>
      </c>
      <c r="C5" s="57">
        <f>Energy!$J$5</f>
        <v>455.68946351137379</v>
      </c>
      <c r="D5" s="57">
        <f>Energy!$J$16</f>
        <v>625.95687117663044</v>
      </c>
      <c r="E5" s="57">
        <f>Energy!$J$22</f>
        <v>1049.7937391622331</v>
      </c>
      <c r="F5" s="59"/>
    </row>
    <row r="6" spans="1:6" s="55" customFormat="1" ht="15" customHeight="1">
      <c r="A6" s="348" t="s">
        <v>167</v>
      </c>
      <c r="B6" s="59">
        <f>Energy!$G$6</f>
        <v>38</v>
      </c>
      <c r="C6" s="57">
        <f>Energy!$J$6</f>
        <v>830.8921511680087</v>
      </c>
      <c r="D6" s="57">
        <f>Energy!$J$17</f>
        <v>1137.4679990429079</v>
      </c>
      <c r="E6" s="57">
        <f>Energy!$J$23</f>
        <v>1888.9442033349824</v>
      </c>
      <c r="F6" s="59"/>
    </row>
    <row r="7" spans="1:6" s="55" customFormat="1" ht="15" customHeight="1">
      <c r="B7" s="59"/>
      <c r="C7" s="57"/>
      <c r="D7" s="57"/>
      <c r="E7" s="57"/>
      <c r="F7" s="59"/>
    </row>
    <row r="8" spans="1:6" s="55" customFormat="1" ht="15" customHeight="1">
      <c r="A8" s="108" t="s">
        <v>405</v>
      </c>
      <c r="B8" s="59"/>
      <c r="C8" s="57"/>
      <c r="D8" s="57"/>
      <c r="E8" s="57"/>
      <c r="F8" s="59"/>
    </row>
    <row r="9" spans="1:6" s="55" customFormat="1" ht="15" customHeight="1">
      <c r="A9" s="348" t="s">
        <v>224</v>
      </c>
      <c r="B9" s="59">
        <f>Energy!$G$8</f>
        <v>8.5</v>
      </c>
      <c r="C9" s="57">
        <f>Energy!$J$8</f>
        <v>400.03832920992807</v>
      </c>
      <c r="D9" s="57">
        <f>Energy!$J$8</f>
        <v>400.03832920992807</v>
      </c>
      <c r="E9" s="57">
        <f>Energy!$J$8</f>
        <v>400.03832920992807</v>
      </c>
      <c r="F9" s="59"/>
    </row>
    <row r="10" spans="1:6" s="55" customFormat="1" ht="15" customHeight="1">
      <c r="A10" s="348" t="s">
        <v>225</v>
      </c>
      <c r="B10" s="59">
        <f>Energy!$G$9</f>
        <v>23.5</v>
      </c>
      <c r="C10" s="57">
        <f>Energy!$J$9</f>
        <v>524.1768172904118</v>
      </c>
      <c r="D10" s="57">
        <f>Energy!$J$18</f>
        <v>717.06780523544637</v>
      </c>
      <c r="E10" s="57">
        <f>Energy!$J$24</f>
        <v>1184.4761706220279</v>
      </c>
      <c r="F10" s="59"/>
    </row>
    <row r="11" spans="1:6" s="55" customFormat="1" ht="15" customHeight="1">
      <c r="A11" s="348" t="s">
        <v>276</v>
      </c>
      <c r="B11" s="59">
        <v>23.5</v>
      </c>
      <c r="C11" s="57">
        <f>Energy!$J$10</f>
        <v>463.92858391587879</v>
      </c>
      <c r="D11" s="393" t="s">
        <v>451</v>
      </c>
      <c r="E11" s="57">
        <v>815</v>
      </c>
      <c r="F11" s="59"/>
    </row>
    <row r="12" spans="1:6" s="55" customFormat="1" ht="15" customHeight="1">
      <c r="B12" s="59"/>
      <c r="C12" s="57"/>
      <c r="D12" s="57"/>
      <c r="E12" s="57"/>
      <c r="F12" s="59"/>
    </row>
    <row r="13" spans="1:6" s="55" customFormat="1" ht="15" customHeight="1">
      <c r="A13" s="108" t="s">
        <v>208</v>
      </c>
      <c r="B13" s="59"/>
      <c r="C13" s="57"/>
      <c r="D13" s="57"/>
      <c r="E13" s="57"/>
      <c r="F13" s="59"/>
    </row>
    <row r="14" spans="1:6" s="55" customFormat="1" ht="15" customHeight="1">
      <c r="A14" s="348" t="s">
        <v>226</v>
      </c>
      <c r="B14" s="134">
        <f>Energy!$G$12</f>
        <v>8</v>
      </c>
      <c r="C14" s="57">
        <f>Energy!$J$12</f>
        <v>373.75412766772007</v>
      </c>
      <c r="D14" s="57">
        <f>Energy!$J$12</f>
        <v>373.75412766772007</v>
      </c>
      <c r="E14" s="57">
        <f>Energy!$J$12</f>
        <v>373.75412766772007</v>
      </c>
      <c r="F14" s="59"/>
    </row>
    <row r="15" spans="1:6" s="55" customFormat="1" ht="15" customHeight="1">
      <c r="B15" s="59"/>
      <c r="C15" s="59"/>
      <c r="D15" s="59"/>
      <c r="E15" s="59"/>
      <c r="F15" s="59"/>
    </row>
    <row r="16" spans="1:6" s="55" customFormat="1" ht="15" customHeight="1">
      <c r="B16" s="59"/>
      <c r="C16" s="59"/>
      <c r="D16" s="59"/>
      <c r="E16" s="59"/>
      <c r="F16" s="59"/>
    </row>
    <row r="17" spans="2:6" ht="15" customHeight="1">
      <c r="B17" s="52"/>
      <c r="C17" s="52"/>
      <c r="D17" s="52"/>
      <c r="E17" s="52"/>
      <c r="F17" s="52"/>
    </row>
  </sheetData>
  <mergeCells count="1">
    <mergeCell ref="C1:E1"/>
  </mergeCells>
  <printOptions horizontalCentered="1"/>
  <pageMargins left="0.7" right="0.7" top="0.75" bottom="0.75" header="0.3" footer="0.3"/>
  <pageSetup orientation="portrait" r:id="rId1"/>
  <headerFooter>
    <oddHeader>&amp;LEast Providence&amp;C Ten Mile River Feasibility Study&amp;R&amp;A</oddHeader>
    <oddFooter>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/>
  </sheetPr>
  <dimension ref="A1:AD41"/>
  <sheetViews>
    <sheetView view="pageBreakPreview" zoomScale="70" zoomScaleNormal="100" zoomScaleSheetLayoutView="70" workbookViewId="0">
      <selection activeCell="H11" sqref="H11"/>
    </sheetView>
  </sheetViews>
  <sheetFormatPr defaultRowHeight="12.75"/>
  <cols>
    <col min="1" max="1" width="4.5703125" customWidth="1"/>
    <col min="2" max="2" width="30.85546875" customWidth="1"/>
    <col min="3" max="3" width="9.28515625" bestFit="1" customWidth="1"/>
    <col min="4" max="4" width="9.42578125" bestFit="1" customWidth="1"/>
    <col min="5" max="7" width="9.28515625" bestFit="1" customWidth="1"/>
    <col min="8" max="8" width="9.85546875" bestFit="1" customWidth="1"/>
    <col min="9" max="9" width="9.28515625" bestFit="1" customWidth="1"/>
    <col min="10" max="10" width="12.28515625" customWidth="1"/>
    <col min="11" max="11" width="12.42578125" customWidth="1"/>
    <col min="12" max="23" width="9.28515625" bestFit="1" customWidth="1"/>
    <col min="24" max="24" width="25.28515625" style="112" customWidth="1"/>
  </cols>
  <sheetData>
    <row r="1" spans="1:30" ht="26.25" thickBot="1">
      <c r="A1" s="228" t="s">
        <v>0</v>
      </c>
      <c r="B1" s="229" t="s">
        <v>92</v>
      </c>
      <c r="C1" s="229">
        <v>0</v>
      </c>
      <c r="D1" s="229">
        <v>1</v>
      </c>
      <c r="E1" s="229">
        <v>2</v>
      </c>
      <c r="F1" s="229">
        <v>3</v>
      </c>
      <c r="G1" s="229">
        <v>4</v>
      </c>
      <c r="H1" s="229">
        <v>5</v>
      </c>
      <c r="I1" s="229">
        <v>6</v>
      </c>
      <c r="J1" s="229">
        <v>7</v>
      </c>
      <c r="K1" s="229">
        <v>8</v>
      </c>
      <c r="L1" s="229">
        <v>9</v>
      </c>
      <c r="M1" s="229">
        <v>10</v>
      </c>
      <c r="N1" s="229">
        <v>11</v>
      </c>
      <c r="O1" s="229">
        <v>12</v>
      </c>
      <c r="P1" s="229">
        <v>13</v>
      </c>
      <c r="Q1" s="229">
        <v>14</v>
      </c>
      <c r="R1" s="229">
        <v>15</v>
      </c>
      <c r="S1" s="229">
        <v>16</v>
      </c>
      <c r="T1" s="229">
        <v>17</v>
      </c>
      <c r="U1" s="229">
        <v>18</v>
      </c>
      <c r="V1" s="229">
        <v>19</v>
      </c>
      <c r="W1" s="230">
        <v>20</v>
      </c>
      <c r="X1" s="120" t="s">
        <v>199</v>
      </c>
      <c r="AA1" s="1"/>
      <c r="AB1" s="1"/>
      <c r="AC1" s="1"/>
      <c r="AD1" s="1"/>
    </row>
    <row r="2" spans="1:30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6"/>
      <c r="X2" s="129"/>
    </row>
    <row r="3" spans="1:30">
      <c r="A3" s="77">
        <v>1</v>
      </c>
      <c r="B3" s="78" t="s">
        <v>110</v>
      </c>
      <c r="C3" s="216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129"/>
    </row>
    <row r="4" spans="1:30">
      <c r="A4" s="79" t="s">
        <v>8</v>
      </c>
      <c r="B4" s="225" t="s">
        <v>93</v>
      </c>
      <c r="C4" s="227">
        <f>'Costs B (no min flow)'!F137</f>
        <v>5433.7793994897183</v>
      </c>
      <c r="D4" s="226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130"/>
    </row>
    <row r="5" spans="1:30">
      <c r="A5" s="79" t="s">
        <v>11</v>
      </c>
      <c r="B5" s="80" t="s">
        <v>94</v>
      </c>
      <c r="C5" s="197"/>
      <c r="D5" s="81">
        <f t="shared" ref="D5:W5" si="0">mwh*(0.015)*(1+esc)^(D$1-$C$1)</f>
        <v>16.140578739619333</v>
      </c>
      <c r="E5" s="81">
        <f t="shared" si="0"/>
        <v>16.544093208109814</v>
      </c>
      <c r="F5" s="81">
        <f t="shared" si="0"/>
        <v>16.95769553831256</v>
      </c>
      <c r="G5" s="81">
        <f t="shared" si="0"/>
        <v>17.381637926770374</v>
      </c>
      <c r="H5" s="81">
        <f t="shared" si="0"/>
        <v>17.816178874939631</v>
      </c>
      <c r="I5" s="81">
        <f t="shared" si="0"/>
        <v>18.261583346813119</v>
      </c>
      <c r="J5" s="81">
        <f t="shared" si="0"/>
        <v>18.71812293048345</v>
      </c>
      <c r="K5" s="81">
        <f t="shared" si="0"/>
        <v>19.186076003745534</v>
      </c>
      <c r="L5" s="81">
        <f t="shared" si="0"/>
        <v>19.665727903839169</v>
      </c>
      <c r="M5" s="81">
        <f t="shared" si="0"/>
        <v>20.157371101435146</v>
      </c>
      <c r="N5" s="81">
        <f t="shared" si="0"/>
        <v>20.661305378971026</v>
      </c>
      <c r="O5" s="81">
        <f t="shared" si="0"/>
        <v>21.177838013445299</v>
      </c>
      <c r="P5" s="81">
        <f t="shared" si="0"/>
        <v>21.707283963781432</v>
      </c>
      <c r="Q5" s="81">
        <f t="shared" si="0"/>
        <v>22.249966062875963</v>
      </c>
      <c r="R5" s="81">
        <f t="shared" si="0"/>
        <v>22.806215214447867</v>
      </c>
      <c r="S5" s="81">
        <f t="shared" si="0"/>
        <v>23.37637059480906</v>
      </c>
      <c r="T5" s="81">
        <f t="shared" si="0"/>
        <v>23.960779859679285</v>
      </c>
      <c r="U5" s="81">
        <f t="shared" si="0"/>
        <v>24.559799356171268</v>
      </c>
      <c r="V5" s="81">
        <f t="shared" si="0"/>
        <v>25.173794340075549</v>
      </c>
      <c r="W5" s="81">
        <f t="shared" si="0"/>
        <v>25.803139198577437</v>
      </c>
      <c r="X5" s="130"/>
    </row>
    <row r="6" spans="1:30">
      <c r="A6" s="79" t="s">
        <v>13</v>
      </c>
      <c r="B6" s="80" t="s">
        <v>95</v>
      </c>
      <c r="C6" s="81"/>
      <c r="D6" s="81"/>
      <c r="E6" s="81"/>
      <c r="F6" s="81"/>
      <c r="G6" s="81"/>
      <c r="H6" s="81">
        <f>50*(1+esc)^(H1-$C1)</f>
        <v>56.570410644531236</v>
      </c>
      <c r="I6" s="81"/>
      <c r="J6" s="81"/>
      <c r="K6" s="81"/>
      <c r="L6" s="81"/>
      <c r="M6" s="81">
        <f>100*(1+esc)^(M1-$C1)</f>
        <v>128.00845441963571</v>
      </c>
      <c r="N6" s="81"/>
      <c r="O6" s="81"/>
      <c r="P6" s="81"/>
      <c r="Q6" s="81"/>
      <c r="R6" s="81">
        <f>50*(1+esc)^(R1-$C1)</f>
        <v>72.414908324905525</v>
      </c>
      <c r="S6" s="81"/>
      <c r="T6" s="81"/>
      <c r="U6" s="81"/>
      <c r="V6" s="81"/>
      <c r="W6" s="82">
        <f>100*(1+esc)^(W1-$C1)</f>
        <v>163.86164402903955</v>
      </c>
      <c r="X6" s="130"/>
    </row>
    <row r="7" spans="1:30">
      <c r="A7" s="79" t="s">
        <v>16</v>
      </c>
      <c r="B7" s="332" t="s">
        <v>368</v>
      </c>
      <c r="C7" s="81"/>
      <c r="D7" s="81">
        <f t="shared" ref="D7:W7" si="1">(0.0025*$C$4*(1+esc)^(D$1-$C$1))</f>
        <v>13.924059711192402</v>
      </c>
      <c r="E7" s="81">
        <f t="shared" si="1"/>
        <v>14.272161203972212</v>
      </c>
      <c r="F7" s="81">
        <f t="shared" si="1"/>
        <v>14.628965234071517</v>
      </c>
      <c r="G7" s="81">
        <f t="shared" si="1"/>
        <v>14.994689364923303</v>
      </c>
      <c r="H7" s="81">
        <f t="shared" si="1"/>
        <v>15.369556599046385</v>
      </c>
      <c r="I7" s="81">
        <f t="shared" si="1"/>
        <v>15.753795514022542</v>
      </c>
      <c r="J7" s="81">
        <f t="shared" si="1"/>
        <v>16.147640401873108</v>
      </c>
      <c r="K7" s="81">
        <f t="shared" si="1"/>
        <v>16.551331411919932</v>
      </c>
      <c r="L7" s="81">
        <f t="shared" si="1"/>
        <v>16.965114697217928</v>
      </c>
      <c r="M7" s="81">
        <f t="shared" si="1"/>
        <v>17.389242564648377</v>
      </c>
      <c r="N7" s="81">
        <f t="shared" si="1"/>
        <v>17.823973628764588</v>
      </c>
      <c r="O7" s="81">
        <f t="shared" si="1"/>
        <v>18.269572969483701</v>
      </c>
      <c r="P7" s="81">
        <f t="shared" si="1"/>
        <v>18.726312293720792</v>
      </c>
      <c r="Q7" s="81">
        <f t="shared" si="1"/>
        <v>19.194470101063811</v>
      </c>
      <c r="R7" s="81">
        <f t="shared" si="1"/>
        <v>19.674331853590406</v>
      </c>
      <c r="S7" s="81">
        <f t="shared" si="1"/>
        <v>20.166190149930166</v>
      </c>
      <c r="T7" s="81">
        <f t="shared" si="1"/>
        <v>20.670344903678416</v>
      </c>
      <c r="U7" s="81">
        <f t="shared" si="1"/>
        <v>21.187103526270377</v>
      </c>
      <c r="V7" s="81">
        <f t="shared" si="1"/>
        <v>21.716781114427139</v>
      </c>
      <c r="W7" s="81">
        <f t="shared" si="1"/>
        <v>22.259700642287815</v>
      </c>
      <c r="X7" s="130"/>
    </row>
    <row r="8" spans="1:30">
      <c r="A8" s="79" t="s">
        <v>19</v>
      </c>
      <c r="B8" s="332" t="s">
        <v>381</v>
      </c>
      <c r="C8" s="81"/>
      <c r="D8" s="81">
        <f t="shared" ref="D8:W8" si="2">(0.015*$C$4*(1+esc)^(D$1-$C$1))</f>
        <v>83.544358267154408</v>
      </c>
      <c r="E8" s="81">
        <f t="shared" si="2"/>
        <v>85.632967223833262</v>
      </c>
      <c r="F8" s="81">
        <f t="shared" si="2"/>
        <v>87.77379140442909</v>
      </c>
      <c r="G8" s="81">
        <f t="shared" si="2"/>
        <v>89.968136189539806</v>
      </c>
      <c r="H8" s="81">
        <f t="shared" si="2"/>
        <v>92.2173395942783</v>
      </c>
      <c r="I8" s="81">
        <f t="shared" si="2"/>
        <v>94.522773084135252</v>
      </c>
      <c r="J8" s="81">
        <f t="shared" si="2"/>
        <v>96.885842411238642</v>
      </c>
      <c r="K8" s="81">
        <f t="shared" si="2"/>
        <v>99.307988471519593</v>
      </c>
      <c r="L8" s="81">
        <f t="shared" si="2"/>
        <v>101.79068818330757</v>
      </c>
      <c r="M8" s="81">
        <f t="shared" si="2"/>
        <v>104.33545538789025</v>
      </c>
      <c r="N8" s="81">
        <f t="shared" si="2"/>
        <v>106.9438417725875</v>
      </c>
      <c r="O8" s="81">
        <f t="shared" si="2"/>
        <v>109.61743781690218</v>
      </c>
      <c r="P8" s="81">
        <f t="shared" si="2"/>
        <v>112.35787376232474</v>
      </c>
      <c r="Q8" s="81">
        <f t="shared" si="2"/>
        <v>115.16682060638284</v>
      </c>
      <c r="R8" s="81">
        <f t="shared" si="2"/>
        <v>118.04599112154243</v>
      </c>
      <c r="S8" s="81">
        <f t="shared" si="2"/>
        <v>120.99714089958098</v>
      </c>
      <c r="T8" s="81">
        <f t="shared" si="2"/>
        <v>124.02206942207049</v>
      </c>
      <c r="U8" s="81">
        <f t="shared" si="2"/>
        <v>127.12262115762226</v>
      </c>
      <c r="V8" s="81">
        <f t="shared" si="2"/>
        <v>130.30068668656281</v>
      </c>
      <c r="W8" s="81">
        <f t="shared" si="2"/>
        <v>133.55820385372687</v>
      </c>
      <c r="X8" s="130"/>
    </row>
    <row r="9" spans="1:30">
      <c r="A9" s="199" t="s">
        <v>21</v>
      </c>
      <c r="B9" s="200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2"/>
      <c r="X9" s="130"/>
    </row>
    <row r="10" spans="1:30">
      <c r="A10" s="195" t="s">
        <v>35</v>
      </c>
      <c r="B10" s="196" t="s">
        <v>96</v>
      </c>
      <c r="C10" s="197">
        <f t="shared" ref="C10:W10" si="3">SUM(C4:C9)</f>
        <v>5433.7793994897183</v>
      </c>
      <c r="D10" s="197">
        <f t="shared" si="3"/>
        <v>113.60899671796614</v>
      </c>
      <c r="E10" s="197">
        <f t="shared" si="3"/>
        <v>116.44922163591528</v>
      </c>
      <c r="F10" s="197">
        <f t="shared" si="3"/>
        <v>119.36045217681317</v>
      </c>
      <c r="G10" s="197">
        <f t="shared" si="3"/>
        <v>122.34446348123348</v>
      </c>
      <c r="H10" s="197">
        <f t="shared" si="3"/>
        <v>181.97348571279556</v>
      </c>
      <c r="I10" s="197">
        <f t="shared" si="3"/>
        <v>128.53815194497091</v>
      </c>
      <c r="J10" s="197">
        <f t="shared" si="3"/>
        <v>131.75160574359521</v>
      </c>
      <c r="K10" s="197">
        <f t="shared" si="3"/>
        <v>135.04539588718507</v>
      </c>
      <c r="L10" s="197">
        <f t="shared" si="3"/>
        <v>138.42153078436468</v>
      </c>
      <c r="M10" s="197">
        <f t="shared" si="3"/>
        <v>269.89052347360951</v>
      </c>
      <c r="N10" s="197">
        <f t="shared" si="3"/>
        <v>145.4291207803231</v>
      </c>
      <c r="O10" s="197">
        <f t="shared" si="3"/>
        <v>149.06484879983117</v>
      </c>
      <c r="P10" s="197">
        <f t="shared" si="3"/>
        <v>152.79147001982696</v>
      </c>
      <c r="Q10" s="197">
        <f t="shared" si="3"/>
        <v>156.6112567703226</v>
      </c>
      <c r="R10" s="197">
        <f t="shared" si="3"/>
        <v>232.94144651448622</v>
      </c>
      <c r="S10" s="197">
        <f t="shared" si="3"/>
        <v>164.53970164432022</v>
      </c>
      <c r="T10" s="197">
        <f t="shared" si="3"/>
        <v>168.65319418542819</v>
      </c>
      <c r="U10" s="197">
        <f t="shared" si="3"/>
        <v>172.86952404006391</v>
      </c>
      <c r="V10" s="197">
        <f t="shared" si="3"/>
        <v>177.19126214106549</v>
      </c>
      <c r="W10" s="198">
        <f t="shared" si="3"/>
        <v>345.48268772363167</v>
      </c>
      <c r="X10" s="130"/>
    </row>
    <row r="11" spans="1:30">
      <c r="A11" s="74"/>
      <c r="B11" s="7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2"/>
      <c r="X11" s="130"/>
    </row>
    <row r="12" spans="1:30">
      <c r="A12" s="77">
        <v>2</v>
      </c>
      <c r="B12" s="78" t="s">
        <v>111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2"/>
      <c r="X12" s="130"/>
    </row>
    <row r="13" spans="1:30">
      <c r="A13" s="79" t="s">
        <v>8</v>
      </c>
      <c r="B13" s="80" t="s">
        <v>125</v>
      </c>
      <c r="C13" s="81">
        <f>$Q$27</f>
        <v>1358.4448498724296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2"/>
      <c r="X13" s="130"/>
    </row>
    <row r="14" spans="1:30">
      <c r="A14" s="79" t="s">
        <v>11</v>
      </c>
      <c r="B14" s="80" t="s">
        <v>127</v>
      </c>
      <c r="C14" s="81">
        <f>T27</f>
        <v>815.06690992345773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  <c r="X14" s="130"/>
    </row>
    <row r="15" spans="1:30">
      <c r="A15" s="79" t="s">
        <v>13</v>
      </c>
      <c r="B15" s="80" t="s">
        <v>97</v>
      </c>
      <c r="C15" s="81"/>
      <c r="D15" s="81">
        <f t="shared" ref="D15:W15" si="4">0.001*mwh*ene*(1+esc)^(D$1-$C$1)</f>
        <v>134.50482283016112</v>
      </c>
      <c r="E15" s="81">
        <f t="shared" si="4"/>
        <v>137.86744340091514</v>
      </c>
      <c r="F15" s="81">
        <f t="shared" si="4"/>
        <v>141.314129485938</v>
      </c>
      <c r="G15" s="81">
        <f t="shared" si="4"/>
        <v>144.84698272308646</v>
      </c>
      <c r="H15" s="81">
        <f t="shared" si="4"/>
        <v>148.46815729116361</v>
      </c>
      <c r="I15" s="81">
        <f t="shared" si="4"/>
        <v>152.17986122344266</v>
      </c>
      <c r="J15" s="81">
        <f t="shared" si="4"/>
        <v>155.98435775402874</v>
      </c>
      <c r="K15" s="81">
        <f t="shared" si="4"/>
        <v>159.88396669787946</v>
      </c>
      <c r="L15" s="81">
        <f t="shared" si="4"/>
        <v>163.88106586532641</v>
      </c>
      <c r="M15" s="81">
        <f t="shared" si="4"/>
        <v>167.97809251195957</v>
      </c>
      <c r="N15" s="81">
        <f t="shared" si="4"/>
        <v>172.17754482475857</v>
      </c>
      <c r="O15" s="81">
        <f t="shared" si="4"/>
        <v>176.48198344537749</v>
      </c>
      <c r="P15" s="81">
        <f t="shared" si="4"/>
        <v>180.89403303151192</v>
      </c>
      <c r="Q15" s="81">
        <f t="shared" si="4"/>
        <v>185.41638385729971</v>
      </c>
      <c r="R15" s="81">
        <f t="shared" si="4"/>
        <v>190.05179345373224</v>
      </c>
      <c r="S15" s="81">
        <f t="shared" si="4"/>
        <v>194.80308829007552</v>
      </c>
      <c r="T15" s="81">
        <f t="shared" si="4"/>
        <v>199.67316549732737</v>
      </c>
      <c r="U15" s="81">
        <f t="shared" si="4"/>
        <v>204.66499463476057</v>
      </c>
      <c r="V15" s="81">
        <f t="shared" si="4"/>
        <v>209.7816195006296</v>
      </c>
      <c r="W15" s="82">
        <f t="shared" si="4"/>
        <v>215.02615998814531</v>
      </c>
      <c r="X15" s="130"/>
    </row>
    <row r="16" spans="1:30">
      <c r="A16" s="79" t="s">
        <v>16</v>
      </c>
      <c r="B16" s="80" t="s">
        <v>98</v>
      </c>
      <c r="C16" s="81"/>
      <c r="D16" s="81">
        <f t="shared" ref="D16:W16" si="5">0.001*mwh*$K$29*(1+esc)^(D$1-$C$1)</f>
        <v>26.900964566032226</v>
      </c>
      <c r="E16" s="81">
        <f t="shared" si="5"/>
        <v>27.573488680183029</v>
      </c>
      <c r="F16" s="81">
        <f t="shared" si="5"/>
        <v>28.262825897187604</v>
      </c>
      <c r="G16" s="81">
        <f t="shared" si="5"/>
        <v>28.969396544617293</v>
      </c>
      <c r="H16" s="81">
        <f t="shared" si="5"/>
        <v>29.693631458232723</v>
      </c>
      <c r="I16" s="81">
        <f t="shared" si="5"/>
        <v>30.435972244688539</v>
      </c>
      <c r="J16" s="81">
        <f t="shared" si="5"/>
        <v>31.196871550805753</v>
      </c>
      <c r="K16" s="81">
        <f t="shared" si="5"/>
        <v>31.976793339575895</v>
      </c>
      <c r="L16" s="81">
        <f t="shared" si="5"/>
        <v>32.776213173065287</v>
      </c>
      <c r="M16" s="81">
        <f t="shared" si="5"/>
        <v>33.595618502391915</v>
      </c>
      <c r="N16" s="81">
        <f t="shared" si="5"/>
        <v>34.435508964951715</v>
      </c>
      <c r="O16" s="81">
        <f t="shared" si="5"/>
        <v>35.296396689075507</v>
      </c>
      <c r="P16" s="81">
        <f t="shared" si="5"/>
        <v>36.178806606302388</v>
      </c>
      <c r="Q16" s="81">
        <f t="shared" si="5"/>
        <v>37.08327677145995</v>
      </c>
      <c r="R16" s="81">
        <f t="shared" si="5"/>
        <v>38.01035869074645</v>
      </c>
      <c r="S16" s="81">
        <f t="shared" si="5"/>
        <v>38.96061765801511</v>
      </c>
      <c r="T16" s="81">
        <f t="shared" si="5"/>
        <v>39.934633099465479</v>
      </c>
      <c r="U16" s="81">
        <f t="shared" si="5"/>
        <v>40.932998926952123</v>
      </c>
      <c r="V16" s="81">
        <f t="shared" si="5"/>
        <v>41.956323900125923</v>
      </c>
      <c r="W16" s="81">
        <f t="shared" si="5"/>
        <v>43.005231997629068</v>
      </c>
      <c r="X16" s="105"/>
    </row>
    <row r="17" spans="1:24">
      <c r="A17" s="79" t="s">
        <v>19</v>
      </c>
      <c r="B17" s="80" t="s">
        <v>117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2"/>
      <c r="X17" s="130"/>
    </row>
    <row r="18" spans="1:24">
      <c r="A18" s="79" t="s">
        <v>21</v>
      </c>
      <c r="B18" s="80" t="s">
        <v>150</v>
      </c>
      <c r="C18" s="81"/>
      <c r="D18" s="81">
        <f t="shared" ref="D18:W18" si="6">0.001*cap*12*(dem)*(1+esc)^(D$1-$C$1)</f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1">
        <f t="shared" si="6"/>
        <v>0</v>
      </c>
      <c r="P18" s="81">
        <f t="shared" si="6"/>
        <v>0</v>
      </c>
      <c r="Q18" s="81">
        <f t="shared" si="6"/>
        <v>0</v>
      </c>
      <c r="R18" s="81">
        <f t="shared" si="6"/>
        <v>0</v>
      </c>
      <c r="S18" s="81">
        <f t="shared" si="6"/>
        <v>0</v>
      </c>
      <c r="T18" s="81">
        <f t="shared" si="6"/>
        <v>0</v>
      </c>
      <c r="U18" s="81">
        <f t="shared" si="6"/>
        <v>0</v>
      </c>
      <c r="V18" s="81">
        <f t="shared" si="6"/>
        <v>0</v>
      </c>
      <c r="W18" s="82">
        <f t="shared" si="6"/>
        <v>0</v>
      </c>
      <c r="X18" s="130"/>
    </row>
    <row r="19" spans="1:24">
      <c r="A19" s="199" t="s">
        <v>35</v>
      </c>
      <c r="B19" s="355" t="s">
        <v>426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202">
        <f>IF($V$23&lt;=0,0,(1+esc)*$V$23/(dis-esc))</f>
        <v>3056.4139316472902</v>
      </c>
      <c r="X19" s="345"/>
    </row>
    <row r="20" spans="1:24">
      <c r="A20" s="195" t="s">
        <v>36</v>
      </c>
      <c r="B20" s="196" t="s">
        <v>99</v>
      </c>
      <c r="C20" s="197">
        <f>SUM(C13:C19)</f>
        <v>2173.5117597958874</v>
      </c>
      <c r="D20" s="197">
        <f t="shared" ref="D20:W20" si="7">SUM(D13:D19)</f>
        <v>161.40578739619335</v>
      </c>
      <c r="E20" s="197">
        <f t="shared" si="7"/>
        <v>165.44093208109817</v>
      </c>
      <c r="F20" s="197">
        <f t="shared" si="7"/>
        <v>169.57695538312561</v>
      </c>
      <c r="G20" s="197">
        <f t="shared" si="7"/>
        <v>173.81637926770375</v>
      </c>
      <c r="H20" s="197">
        <f t="shared" si="7"/>
        <v>178.16178874939632</v>
      </c>
      <c r="I20" s="197">
        <f t="shared" si="7"/>
        <v>182.6158334681312</v>
      </c>
      <c r="J20" s="197">
        <f t="shared" si="7"/>
        <v>187.18122930483449</v>
      </c>
      <c r="K20" s="197">
        <f t="shared" si="7"/>
        <v>191.86076003745535</v>
      </c>
      <c r="L20" s="197">
        <f t="shared" si="7"/>
        <v>196.65727903839169</v>
      </c>
      <c r="M20" s="197">
        <f t="shared" si="7"/>
        <v>201.57371101435149</v>
      </c>
      <c r="N20" s="197">
        <f t="shared" si="7"/>
        <v>206.61305378971028</v>
      </c>
      <c r="O20" s="197">
        <f t="shared" si="7"/>
        <v>211.77838013445302</v>
      </c>
      <c r="P20" s="197">
        <f t="shared" si="7"/>
        <v>217.0728396378143</v>
      </c>
      <c r="Q20" s="197">
        <f t="shared" si="7"/>
        <v>222.49966062875967</v>
      </c>
      <c r="R20" s="197">
        <f t="shared" si="7"/>
        <v>228.06215214447869</v>
      </c>
      <c r="S20" s="197">
        <f t="shared" si="7"/>
        <v>233.76370594809063</v>
      </c>
      <c r="T20" s="197">
        <f t="shared" si="7"/>
        <v>239.60779859679286</v>
      </c>
      <c r="U20" s="197">
        <f t="shared" si="7"/>
        <v>245.59799356171271</v>
      </c>
      <c r="V20" s="197">
        <f t="shared" si="7"/>
        <v>251.73794340075551</v>
      </c>
      <c r="W20" s="197">
        <f t="shared" si="7"/>
        <v>3314.4453236330646</v>
      </c>
      <c r="X20" s="346"/>
    </row>
    <row r="21" spans="1:2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  <c r="X21" s="344">
        <f>0.5*C4*(1+esc)^20</f>
        <v>4451.9401284575624</v>
      </c>
    </row>
    <row r="22" spans="1:24">
      <c r="A22" s="77">
        <v>3</v>
      </c>
      <c r="B22" s="78" t="s">
        <v>112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6"/>
      <c r="X22" s="344">
        <f>(1+esc)*V23/(dis-esc)</f>
        <v>3056.4139316472902</v>
      </c>
    </row>
    <row r="23" spans="1:24">
      <c r="A23" s="79" t="s">
        <v>8</v>
      </c>
      <c r="B23" s="80" t="s">
        <v>100</v>
      </c>
      <c r="C23" s="81">
        <f t="shared" ref="C23:W23" si="8">C20-C10</f>
        <v>-3260.2676396938309</v>
      </c>
      <c r="D23" s="81">
        <f t="shared" si="8"/>
        <v>47.796790678227211</v>
      </c>
      <c r="E23" s="81">
        <f t="shared" si="8"/>
        <v>48.991710445182889</v>
      </c>
      <c r="F23" s="81">
        <f t="shared" si="8"/>
        <v>50.216503206312439</v>
      </c>
      <c r="G23" s="81">
        <f t="shared" si="8"/>
        <v>51.471915786470277</v>
      </c>
      <c r="H23" s="81">
        <f t="shared" si="8"/>
        <v>-3.8116969633992426</v>
      </c>
      <c r="I23" s="81">
        <f t="shared" si="8"/>
        <v>54.077681523160294</v>
      </c>
      <c r="J23" s="81">
        <f t="shared" si="8"/>
        <v>55.429623561239282</v>
      </c>
      <c r="K23" s="81">
        <f t="shared" si="8"/>
        <v>56.815364150270284</v>
      </c>
      <c r="L23" s="81">
        <f t="shared" si="8"/>
        <v>58.235748254027015</v>
      </c>
      <c r="M23" s="81">
        <f t="shared" si="8"/>
        <v>-68.316812459258017</v>
      </c>
      <c r="N23" s="81">
        <f t="shared" si="8"/>
        <v>61.183933009387175</v>
      </c>
      <c r="O23" s="81">
        <f t="shared" si="8"/>
        <v>62.713531334621848</v>
      </c>
      <c r="P23" s="81">
        <f t="shared" si="8"/>
        <v>64.281369617987338</v>
      </c>
      <c r="Q23" s="81">
        <f t="shared" si="8"/>
        <v>65.888403858437073</v>
      </c>
      <c r="R23" s="81">
        <f t="shared" si="8"/>
        <v>-4.8792943700075284</v>
      </c>
      <c r="S23" s="81">
        <f t="shared" si="8"/>
        <v>69.224004303770414</v>
      </c>
      <c r="T23" s="81">
        <f t="shared" si="8"/>
        <v>70.95460441136467</v>
      </c>
      <c r="U23" s="81">
        <f t="shared" si="8"/>
        <v>72.728469521648805</v>
      </c>
      <c r="V23" s="81">
        <f t="shared" si="8"/>
        <v>74.546681259690018</v>
      </c>
      <c r="W23" s="82">
        <f t="shared" si="8"/>
        <v>2968.9626359094327</v>
      </c>
      <c r="X23" s="130"/>
    </row>
    <row r="24" spans="1:24">
      <c r="A24" s="79" t="s">
        <v>11</v>
      </c>
      <c r="B24" s="80" t="s">
        <v>101</v>
      </c>
      <c r="C24" s="81">
        <f>C23</f>
        <v>-3260.2676396938309</v>
      </c>
      <c r="D24" s="81">
        <f t="shared" ref="D24:W24" si="9">D23/(1+dis)^(D$1-$C$1)</f>
        <v>45.520753026883057</v>
      </c>
      <c r="E24" s="81">
        <f t="shared" si="9"/>
        <v>44.436925573862027</v>
      </c>
      <c r="F24" s="81">
        <f t="shared" si="9"/>
        <v>43.378903536389103</v>
      </c>
      <c r="G24" s="81">
        <f t="shared" si="9"/>
        <v>42.346072499808436</v>
      </c>
      <c r="H24" s="81">
        <f t="shared" si="9"/>
        <v>-2.9865643094716745</v>
      </c>
      <c r="I24" s="81">
        <f t="shared" si="9"/>
        <v>40.353598566994293</v>
      </c>
      <c r="J24" s="81">
        <f t="shared" si="9"/>
        <v>39.392798601113455</v>
      </c>
      <c r="K24" s="81">
        <f t="shared" si="9"/>
        <v>38.454874824896486</v>
      </c>
      <c r="L24" s="81">
        <f t="shared" si="9"/>
        <v>37.539282567160832</v>
      </c>
      <c r="M24" s="81">
        <f t="shared" si="9"/>
        <v>-41.940596608396973</v>
      </c>
      <c r="N24" s="81">
        <f t="shared" si="9"/>
        <v>35.7729784554407</v>
      </c>
      <c r="O24" s="81">
        <f t="shared" si="9"/>
        <v>34.921240873168308</v>
      </c>
      <c r="P24" s="81">
        <f t="shared" si="9"/>
        <v>34.089782757140455</v>
      </c>
      <c r="Q24" s="81">
        <f t="shared" si="9"/>
        <v>33.278121262922859</v>
      </c>
      <c r="R24" s="81">
        <f t="shared" si="9"/>
        <v>-2.3470240185926299</v>
      </c>
      <c r="S24" s="81">
        <f t="shared" si="9"/>
        <v>31.712313969939505</v>
      </c>
      <c r="T24" s="81">
        <f t="shared" si="9"/>
        <v>30.957258875417129</v>
      </c>
      <c r="U24" s="81">
        <f t="shared" si="9"/>
        <v>30.220181283145301</v>
      </c>
      <c r="V24" s="81">
        <f t="shared" si="9"/>
        <v>29.500653157356123</v>
      </c>
      <c r="W24" s="82">
        <f t="shared" si="9"/>
        <v>1118.970792517167</v>
      </c>
      <c r="X24" s="130"/>
    </row>
    <row r="25" spans="1:24">
      <c r="A25" s="79" t="s">
        <v>13</v>
      </c>
      <c r="B25" s="80" t="s">
        <v>102</v>
      </c>
      <c r="C25" s="81">
        <f>C23</f>
        <v>-3260.2676396938309</v>
      </c>
      <c r="D25" s="81">
        <f>SUM($C24:D24)</f>
        <v>-3214.7468866669478</v>
      </c>
      <c r="E25" s="81">
        <f>SUM($C24:E24)</f>
        <v>-3170.3099610930858</v>
      </c>
      <c r="F25" s="81">
        <f>SUM($C24:F24)</f>
        <v>-3126.9310575566965</v>
      </c>
      <c r="G25" s="81">
        <f>SUM($C24:G24)</f>
        <v>-3084.5849850568879</v>
      </c>
      <c r="H25" s="81">
        <f>SUM($C24:H24)</f>
        <v>-3087.5715493663597</v>
      </c>
      <c r="I25" s="81">
        <f>SUM($C24:I24)</f>
        <v>-3047.2179507993656</v>
      </c>
      <c r="J25" s="81">
        <f>SUM($C24:J24)</f>
        <v>-3007.825152198252</v>
      </c>
      <c r="K25" s="81">
        <f>SUM($C24:K24)</f>
        <v>-2969.3702773733553</v>
      </c>
      <c r="L25" s="81">
        <f>SUM($C24:L24)</f>
        <v>-2931.8309948061947</v>
      </c>
      <c r="M25" s="81">
        <f>SUM($C24:M24)</f>
        <v>-2973.7715914145915</v>
      </c>
      <c r="N25" s="81">
        <f>SUM($C24:N24)</f>
        <v>-2937.9986129591507</v>
      </c>
      <c r="O25" s="81">
        <f>SUM($C24:O24)</f>
        <v>-2903.0773720859825</v>
      </c>
      <c r="P25" s="81">
        <f>SUM($C24:P24)</f>
        <v>-2868.9875893288422</v>
      </c>
      <c r="Q25" s="81">
        <f>SUM($C24:Q24)</f>
        <v>-2835.7094680659193</v>
      </c>
      <c r="R25" s="81">
        <f>SUM($C24:R24)</f>
        <v>-2838.0564920845118</v>
      </c>
      <c r="S25" s="81">
        <f>SUM($C24:S24)</f>
        <v>-2806.3441781145721</v>
      </c>
      <c r="T25" s="81">
        <f>SUM($C24:T24)</f>
        <v>-2775.3869192391548</v>
      </c>
      <c r="U25" s="81">
        <f>SUM($C24:U24)</f>
        <v>-2745.1667379560095</v>
      </c>
      <c r="V25" s="81">
        <f>SUM($C24:V24)</f>
        <v>-2715.6660847986532</v>
      </c>
      <c r="W25" s="82">
        <f>SUM($C24:W24)</f>
        <v>-1596.6952922814862</v>
      </c>
      <c r="X25" s="130"/>
    </row>
    <row r="26" spans="1:24">
      <c r="A26" s="74"/>
      <c r="B26" s="75"/>
      <c r="C26" s="75"/>
      <c r="D26" s="83"/>
      <c r="E26" s="83"/>
      <c r="F26" s="75"/>
      <c r="G26" s="75"/>
      <c r="H26" s="75"/>
      <c r="I26" s="75"/>
      <c r="J26" s="75"/>
      <c r="K26" s="216"/>
      <c r="L26" s="75"/>
      <c r="M26" s="75"/>
      <c r="N26" s="216"/>
      <c r="O26" s="75"/>
      <c r="P26" s="75"/>
      <c r="Q26" s="216"/>
      <c r="R26" s="75"/>
      <c r="S26" s="75"/>
      <c r="T26" s="216"/>
      <c r="U26" s="75"/>
      <c r="V26" s="75"/>
      <c r="W26" s="76"/>
      <c r="X26" s="129"/>
    </row>
    <row r="27" spans="1:24">
      <c r="A27" s="74"/>
      <c r="B27" s="84" t="s">
        <v>103</v>
      </c>
      <c r="C27" s="75"/>
      <c r="D27" s="75" t="s">
        <v>104</v>
      </c>
      <c r="E27" s="122">
        <f>'Summary - Cash'!C9</f>
        <v>2.5000000000000001E-2</v>
      </c>
      <c r="F27" s="75"/>
      <c r="G27" s="75" t="s">
        <v>105</v>
      </c>
      <c r="H27" s="122">
        <f>'Summary - Cash'!F9</f>
        <v>0.05</v>
      </c>
      <c r="I27" s="75"/>
      <c r="J27" s="214" t="s">
        <v>106</v>
      </c>
      <c r="K27" s="218">
        <f>Energy!J22</f>
        <v>1049.7937391622331</v>
      </c>
      <c r="L27" s="215"/>
      <c r="M27" s="220" t="s">
        <v>153</v>
      </c>
      <c r="N27" s="221">
        <f>Energy!I22</f>
        <v>287.69775007082876</v>
      </c>
      <c r="O27" s="215"/>
      <c r="P27" s="219" t="s">
        <v>125</v>
      </c>
      <c r="Q27" s="218">
        <f>'Summary - Cash'!F32*'Summary - Cash'!B32</f>
        <v>1358.4448498724296</v>
      </c>
      <c r="R27" s="215"/>
      <c r="S27" s="219" t="s">
        <v>126</v>
      </c>
      <c r="T27" s="222">
        <f>'Summary - Cash'!G32*'Summary - Cash'!B32</f>
        <v>815.06690992345773</v>
      </c>
      <c r="U27" s="215"/>
      <c r="V27" s="75"/>
      <c r="W27" s="76"/>
      <c r="X27" s="129"/>
    </row>
    <row r="28" spans="1:24">
      <c r="A28" s="74"/>
      <c r="B28" s="75"/>
      <c r="C28" s="75"/>
      <c r="D28" s="75"/>
      <c r="E28" s="216"/>
      <c r="F28" s="75"/>
      <c r="G28" s="75"/>
      <c r="H28" s="75"/>
      <c r="I28" s="75"/>
      <c r="J28" s="75"/>
      <c r="K28" s="217"/>
      <c r="L28" s="75"/>
      <c r="M28" s="75"/>
      <c r="N28" s="204"/>
      <c r="O28" s="75"/>
      <c r="P28" s="75"/>
      <c r="Q28" s="204"/>
      <c r="R28" s="75"/>
      <c r="S28" s="75"/>
      <c r="T28" s="204"/>
      <c r="U28" s="75"/>
      <c r="V28" s="75"/>
      <c r="W28" s="76"/>
      <c r="X28" s="129"/>
    </row>
    <row r="29" spans="1:24">
      <c r="A29" s="74"/>
      <c r="B29" s="75"/>
      <c r="C29" s="75"/>
      <c r="D29" s="223" t="s">
        <v>107</v>
      </c>
      <c r="E29" s="218">
        <f>'Summary - Cash'!H14</f>
        <v>125</v>
      </c>
      <c r="F29" s="215" t="s">
        <v>119</v>
      </c>
      <c r="G29" s="336" t="s">
        <v>382</v>
      </c>
      <c r="H29" s="93"/>
      <c r="I29" s="85" t="s">
        <v>152</v>
      </c>
      <c r="J29" s="219" t="s">
        <v>108</v>
      </c>
      <c r="K29" s="218">
        <f>'Summary - Cash'!C10</f>
        <v>25</v>
      </c>
      <c r="L29" s="215" t="s">
        <v>119</v>
      </c>
      <c r="M29" s="86" t="s">
        <v>120</v>
      </c>
      <c r="N29" s="231">
        <v>0</v>
      </c>
      <c r="O29" s="88" t="s">
        <v>109</v>
      </c>
      <c r="P29" s="89" t="s">
        <v>118</v>
      </c>
      <c r="Q29" s="87"/>
      <c r="R29" s="75" t="s">
        <v>119</v>
      </c>
      <c r="S29" s="75"/>
      <c r="T29" s="75"/>
      <c r="U29" s="75"/>
      <c r="V29" s="75"/>
      <c r="W29" s="76"/>
      <c r="X29" s="129"/>
    </row>
    <row r="30" spans="1:24">
      <c r="A30" s="74"/>
      <c r="B30" s="75"/>
      <c r="C30" s="75"/>
      <c r="D30" s="75"/>
      <c r="E30" s="204"/>
      <c r="F30" s="75"/>
      <c r="G30" s="75"/>
      <c r="H30" s="75"/>
      <c r="I30" s="75"/>
      <c r="J30" s="75"/>
      <c r="K30" s="204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  <c r="X30" s="129"/>
    </row>
    <row r="31" spans="1:24">
      <c r="A31" s="74"/>
      <c r="B31" s="90" t="s">
        <v>121</v>
      </c>
      <c r="C31" s="75"/>
      <c r="D31" s="75"/>
      <c r="E31" s="75" t="s">
        <v>122</v>
      </c>
      <c r="F31" s="75"/>
      <c r="G31" s="75"/>
      <c r="H31" s="91">
        <f>IRR($C23:$W23)</f>
        <v>9.4878333066436647E-3</v>
      </c>
      <c r="I31" s="85"/>
      <c r="J31" s="85" t="s">
        <v>102</v>
      </c>
      <c r="K31" s="92">
        <f>$W25</f>
        <v>-1596.6952922814862</v>
      </c>
      <c r="L31" s="104"/>
      <c r="M31" s="85"/>
      <c r="N31" s="85"/>
      <c r="O31" s="85"/>
      <c r="P31" s="86" t="s">
        <v>123</v>
      </c>
      <c r="Q31" s="93">
        <f>MATCH(1,D25:W25)</f>
        <v>20</v>
      </c>
      <c r="R31" s="75"/>
      <c r="S31" s="75"/>
      <c r="T31" s="75"/>
      <c r="U31" s="75"/>
      <c r="V31" s="75"/>
      <c r="W31" s="76"/>
      <c r="X31" s="129"/>
    </row>
    <row r="32" spans="1:24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6"/>
    </row>
    <row r="33" spans="1:13">
      <c r="B33" s="2" t="s">
        <v>113</v>
      </c>
      <c r="D33" s="3"/>
      <c r="E33" s="3"/>
      <c r="F33" s="3"/>
      <c r="G33" s="3"/>
      <c r="H33" s="3"/>
    </row>
    <row r="34" spans="1:13">
      <c r="A34">
        <v>1</v>
      </c>
      <c r="B34" t="s">
        <v>369</v>
      </c>
      <c r="D34" s="4"/>
    </row>
    <row r="35" spans="1:13">
      <c r="A35">
        <v>2</v>
      </c>
      <c r="B35" t="s">
        <v>131</v>
      </c>
      <c r="L35" s="224"/>
      <c r="M35" s="138" t="s">
        <v>307</v>
      </c>
    </row>
    <row r="36" spans="1:13">
      <c r="A36">
        <v>3</v>
      </c>
      <c r="B36" s="138" t="s">
        <v>383</v>
      </c>
      <c r="L36" s="227"/>
      <c r="M36" s="138" t="s">
        <v>308</v>
      </c>
    </row>
    <row r="37" spans="1:13">
      <c r="A37">
        <v>4</v>
      </c>
      <c r="B37" s="138" t="s">
        <v>393</v>
      </c>
    </row>
    <row r="38" spans="1:13">
      <c r="A38">
        <v>5</v>
      </c>
      <c r="B38" s="138" t="s">
        <v>425</v>
      </c>
    </row>
    <row r="41" spans="1:13">
      <c r="B41" s="6"/>
    </row>
  </sheetData>
  <sheetProtection selectLockedCells="1"/>
  <printOptions horizontalCentered="1"/>
  <pageMargins left="1" right="1" top="2.25" bottom="1" header="0.5" footer="0.5"/>
  <pageSetup paperSize="3" scale="80" orientation="landscape" r:id="rId1"/>
  <headerFooter alignWithMargins="0">
    <oddHeader>&amp;L&amp;"Arial,Bold Italic"&amp;11Privileged and Confidential&amp;C&amp;"Arial,Bold Italic"&amp;11Ten Mile River Feasibility Study
Phase 1
&amp;R&amp;"Arial,Bold Italic"&amp;11&amp;A</oddHeader>
    <oddFooter>&amp;L&amp;G&amp;C&amp;"Arial,Bold Italic"For Planning Purposes Only&amp;R&amp;"Arial,Bold Italic"&amp;F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/>
  </sheetPr>
  <dimension ref="A1:AD41"/>
  <sheetViews>
    <sheetView view="pageBreakPreview" topLeftCell="B1" zoomScale="70" zoomScaleNormal="100" zoomScaleSheetLayoutView="70" workbookViewId="0">
      <selection activeCell="H11" sqref="H11"/>
    </sheetView>
  </sheetViews>
  <sheetFormatPr defaultRowHeight="12.75"/>
  <cols>
    <col min="1" max="1" width="4.5703125" customWidth="1"/>
    <col min="2" max="2" width="30.85546875" customWidth="1"/>
    <col min="3" max="3" width="9.28515625" bestFit="1" customWidth="1"/>
    <col min="4" max="4" width="9.42578125" bestFit="1" customWidth="1"/>
    <col min="5" max="7" width="9.28515625" bestFit="1" customWidth="1"/>
    <col min="8" max="8" width="9.85546875" bestFit="1" customWidth="1"/>
    <col min="9" max="9" width="9.28515625" bestFit="1" customWidth="1"/>
    <col min="10" max="10" width="12.28515625" customWidth="1"/>
    <col min="11" max="11" width="12.42578125" customWidth="1"/>
    <col min="12" max="23" width="9.28515625" bestFit="1" customWidth="1"/>
    <col min="24" max="24" width="25.28515625" style="112" customWidth="1"/>
  </cols>
  <sheetData>
    <row r="1" spans="1:30" ht="26.25" thickBot="1">
      <c r="A1" s="228" t="s">
        <v>0</v>
      </c>
      <c r="B1" s="229" t="s">
        <v>92</v>
      </c>
      <c r="C1" s="229">
        <v>0</v>
      </c>
      <c r="D1" s="229">
        <v>1</v>
      </c>
      <c r="E1" s="229">
        <v>2</v>
      </c>
      <c r="F1" s="229">
        <v>3</v>
      </c>
      <c r="G1" s="229">
        <v>4</v>
      </c>
      <c r="H1" s="229">
        <v>5</v>
      </c>
      <c r="I1" s="229">
        <v>6</v>
      </c>
      <c r="J1" s="229">
        <v>7</v>
      </c>
      <c r="K1" s="229">
        <v>8</v>
      </c>
      <c r="L1" s="229">
        <v>9</v>
      </c>
      <c r="M1" s="229">
        <v>10</v>
      </c>
      <c r="N1" s="229">
        <v>11</v>
      </c>
      <c r="O1" s="229">
        <v>12</v>
      </c>
      <c r="P1" s="229">
        <v>13</v>
      </c>
      <c r="Q1" s="229">
        <v>14</v>
      </c>
      <c r="R1" s="229">
        <v>15</v>
      </c>
      <c r="S1" s="229">
        <v>16</v>
      </c>
      <c r="T1" s="229">
        <v>17</v>
      </c>
      <c r="U1" s="229">
        <v>18</v>
      </c>
      <c r="V1" s="229">
        <v>19</v>
      </c>
      <c r="W1" s="230">
        <v>20</v>
      </c>
      <c r="X1" s="120" t="s">
        <v>199</v>
      </c>
      <c r="AA1" s="1"/>
      <c r="AB1" s="1"/>
      <c r="AC1" s="1"/>
      <c r="AD1" s="1"/>
    </row>
    <row r="2" spans="1:30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6"/>
      <c r="X2" s="129"/>
    </row>
    <row r="3" spans="1:30">
      <c r="A3" s="77">
        <v>1</v>
      </c>
      <c r="B3" s="78" t="s">
        <v>110</v>
      </c>
      <c r="C3" s="216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129"/>
    </row>
    <row r="4" spans="1:30">
      <c r="A4" s="79" t="s">
        <v>8</v>
      </c>
      <c r="B4" s="225" t="s">
        <v>93</v>
      </c>
      <c r="C4" s="227">
        <f>'Costs B (1-2 min flow)'!F137</f>
        <v>4626.1804684338176</v>
      </c>
      <c r="D4" s="226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130"/>
    </row>
    <row r="5" spans="1:30">
      <c r="A5" s="79" t="s">
        <v>11</v>
      </c>
      <c r="B5" s="80" t="s">
        <v>94</v>
      </c>
      <c r="C5" s="197"/>
      <c r="D5" s="81">
        <f t="shared" ref="D5:W5" si="0">mwh*(0.015)*(1+esc)^(D$1-$C$1)</f>
        <v>9.6240868943406905</v>
      </c>
      <c r="E5" s="81">
        <f t="shared" si="0"/>
        <v>9.8646890666992082</v>
      </c>
      <c r="F5" s="81">
        <f t="shared" si="0"/>
        <v>10.111306293366688</v>
      </c>
      <c r="G5" s="81">
        <f t="shared" si="0"/>
        <v>10.364088950700854</v>
      </c>
      <c r="H5" s="81">
        <f t="shared" si="0"/>
        <v>10.623191174468374</v>
      </c>
      <c r="I5" s="81">
        <f t="shared" si="0"/>
        <v>10.888770953830084</v>
      </c>
      <c r="J5" s="81">
        <f t="shared" si="0"/>
        <v>11.160990227675835</v>
      </c>
      <c r="K5" s="81">
        <f t="shared" si="0"/>
        <v>11.440014983367732</v>
      </c>
      <c r="L5" s="81">
        <f t="shared" si="0"/>
        <v>11.726015357951923</v>
      </c>
      <c r="M5" s="81">
        <f t="shared" si="0"/>
        <v>12.019165741900721</v>
      </c>
      <c r="N5" s="81">
        <f t="shared" si="0"/>
        <v>12.319644885448238</v>
      </c>
      <c r="O5" s="81">
        <f t="shared" si="0"/>
        <v>12.627636007584444</v>
      </c>
      <c r="P5" s="81">
        <f t="shared" si="0"/>
        <v>12.943326907774054</v>
      </c>
      <c r="Q5" s="81">
        <f t="shared" si="0"/>
        <v>13.266910080468403</v>
      </c>
      <c r="R5" s="81">
        <f t="shared" si="0"/>
        <v>13.598582832480115</v>
      </c>
      <c r="S5" s="81">
        <f t="shared" si="0"/>
        <v>13.938547403292118</v>
      </c>
      <c r="T5" s="81">
        <f t="shared" si="0"/>
        <v>14.287011088374419</v>
      </c>
      <c r="U5" s="81">
        <f t="shared" si="0"/>
        <v>14.64418636558378</v>
      </c>
      <c r="V5" s="81">
        <f t="shared" si="0"/>
        <v>15.010291024723374</v>
      </c>
      <c r="W5" s="81">
        <f t="shared" si="0"/>
        <v>15.385548300341457</v>
      </c>
      <c r="X5" s="130"/>
    </row>
    <row r="6" spans="1:30">
      <c r="A6" s="79" t="s">
        <v>13</v>
      </c>
      <c r="B6" s="80" t="s">
        <v>95</v>
      </c>
      <c r="C6" s="81"/>
      <c r="D6" s="81"/>
      <c r="E6" s="81"/>
      <c r="F6" s="81"/>
      <c r="G6" s="81"/>
      <c r="H6" s="81">
        <f>50*(1+esc)^(H1-$C1)</f>
        <v>56.570410644531236</v>
      </c>
      <c r="I6" s="81"/>
      <c r="J6" s="81"/>
      <c r="K6" s="81"/>
      <c r="L6" s="81"/>
      <c r="M6" s="81">
        <f>100*(1+esc)^(M1-$C1)</f>
        <v>128.00845441963571</v>
      </c>
      <c r="N6" s="81"/>
      <c r="O6" s="81"/>
      <c r="P6" s="81"/>
      <c r="Q6" s="81"/>
      <c r="R6" s="81">
        <f>50*(1+esc)^(R1-$C1)</f>
        <v>72.414908324905525</v>
      </c>
      <c r="S6" s="81"/>
      <c r="T6" s="81"/>
      <c r="U6" s="81"/>
      <c r="V6" s="81"/>
      <c r="W6" s="82">
        <f>100*(1+esc)^(W1-$C1)</f>
        <v>163.86164402903955</v>
      </c>
      <c r="X6" s="130"/>
    </row>
    <row r="7" spans="1:30">
      <c r="A7" s="79" t="s">
        <v>16</v>
      </c>
      <c r="B7" s="332" t="s">
        <v>368</v>
      </c>
      <c r="C7" s="81"/>
      <c r="D7" s="81">
        <f t="shared" ref="D7:W7" si="1">(0.0025*$C$4*(1+esc)^(D$1-$C$1))</f>
        <v>11.854587450361658</v>
      </c>
      <c r="E7" s="81">
        <f t="shared" si="1"/>
        <v>12.150952136620699</v>
      </c>
      <c r="F7" s="81">
        <f t="shared" si="1"/>
        <v>12.454725940036216</v>
      </c>
      <c r="G7" s="81">
        <f t="shared" si="1"/>
        <v>12.76609408853712</v>
      </c>
      <c r="H7" s="81">
        <f t="shared" si="1"/>
        <v>13.085246440750547</v>
      </c>
      <c r="I7" s="81">
        <f t="shared" si="1"/>
        <v>13.412377601769309</v>
      </c>
      <c r="J7" s="81">
        <f t="shared" si="1"/>
        <v>13.747687041813544</v>
      </c>
      <c r="K7" s="81">
        <f t="shared" si="1"/>
        <v>14.091379217858881</v>
      </c>
      <c r="L7" s="81">
        <f t="shared" si="1"/>
        <v>14.44366369830535</v>
      </c>
      <c r="M7" s="81">
        <f t="shared" si="1"/>
        <v>14.804755290762984</v>
      </c>
      <c r="N7" s="81">
        <f t="shared" si="1"/>
        <v>15.174874173032059</v>
      </c>
      <c r="O7" s="81">
        <f t="shared" si="1"/>
        <v>15.554246027357859</v>
      </c>
      <c r="P7" s="81">
        <f t="shared" si="1"/>
        <v>15.943102178041805</v>
      </c>
      <c r="Q7" s="81">
        <f t="shared" si="1"/>
        <v>16.341679732492846</v>
      </c>
      <c r="R7" s="81">
        <f t="shared" si="1"/>
        <v>16.750221725805172</v>
      </c>
      <c r="S7" s="81">
        <f t="shared" si="1"/>
        <v>17.1689772689503</v>
      </c>
      <c r="T7" s="81">
        <f t="shared" si="1"/>
        <v>17.598201700674053</v>
      </c>
      <c r="U7" s="81">
        <f t="shared" si="1"/>
        <v>18.038156743190907</v>
      </c>
      <c r="V7" s="81">
        <f t="shared" si="1"/>
        <v>18.489110661770681</v>
      </c>
      <c r="W7" s="81">
        <f t="shared" si="1"/>
        <v>18.951338428314944</v>
      </c>
      <c r="X7" s="130"/>
    </row>
    <row r="8" spans="1:30">
      <c r="A8" s="79" t="s">
        <v>19</v>
      </c>
      <c r="B8" s="332" t="s">
        <v>381</v>
      </c>
      <c r="C8" s="81"/>
      <c r="D8" s="81">
        <f t="shared" ref="D8:W8" si="2">(0.015*$C$4*(1+esc)^(D$1-$C$1))</f>
        <v>71.127524702169936</v>
      </c>
      <c r="E8" s="81">
        <f t="shared" si="2"/>
        <v>72.905712819724187</v>
      </c>
      <c r="F8" s="81">
        <f t="shared" si="2"/>
        <v>74.728355640217288</v>
      </c>
      <c r="G8" s="81">
        <f t="shared" si="2"/>
        <v>76.596564531222725</v>
      </c>
      <c r="H8" s="81">
        <f t="shared" si="2"/>
        <v>78.511478644503285</v>
      </c>
      <c r="I8" s="81">
        <f t="shared" si="2"/>
        <v>80.474265610615859</v>
      </c>
      <c r="J8" s="81">
        <f t="shared" si="2"/>
        <v>82.486122250881252</v>
      </c>
      <c r="K8" s="81">
        <f t="shared" si="2"/>
        <v>84.548275307153276</v>
      </c>
      <c r="L8" s="81">
        <f t="shared" si="2"/>
        <v>86.661982189832102</v>
      </c>
      <c r="M8" s="81">
        <f t="shared" si="2"/>
        <v>88.828531744577901</v>
      </c>
      <c r="N8" s="81">
        <f t="shared" si="2"/>
        <v>91.049245038192353</v>
      </c>
      <c r="O8" s="81">
        <f t="shared" si="2"/>
        <v>93.325476164147148</v>
      </c>
      <c r="P8" s="81">
        <f t="shared" si="2"/>
        <v>95.658613068250816</v>
      </c>
      <c r="Q8" s="81">
        <f t="shared" si="2"/>
        <v>98.050078394957083</v>
      </c>
      <c r="R8" s="81">
        <f t="shared" si="2"/>
        <v>100.50133035483103</v>
      </c>
      <c r="S8" s="81">
        <f t="shared" si="2"/>
        <v>103.01386361370179</v>
      </c>
      <c r="T8" s="81">
        <f t="shared" si="2"/>
        <v>105.58921020404432</v>
      </c>
      <c r="U8" s="81">
        <f t="shared" si="2"/>
        <v>108.22894045914543</v>
      </c>
      <c r="V8" s="81">
        <f t="shared" si="2"/>
        <v>110.93466397062407</v>
      </c>
      <c r="W8" s="81">
        <f t="shared" si="2"/>
        <v>113.70803056988966</v>
      </c>
      <c r="X8" s="130"/>
    </row>
    <row r="9" spans="1:30">
      <c r="A9" s="199" t="s">
        <v>21</v>
      </c>
      <c r="B9" s="200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2"/>
      <c r="X9" s="130"/>
    </row>
    <row r="10" spans="1:30">
      <c r="A10" s="195" t="s">
        <v>35</v>
      </c>
      <c r="B10" s="196" t="s">
        <v>96</v>
      </c>
      <c r="C10" s="197">
        <f t="shared" ref="C10:W10" si="3">SUM(C4:C9)</f>
        <v>4626.1804684338176</v>
      </c>
      <c r="D10" s="197">
        <f t="shared" si="3"/>
        <v>92.606199046872291</v>
      </c>
      <c r="E10" s="197">
        <f t="shared" si="3"/>
        <v>94.921354023044103</v>
      </c>
      <c r="F10" s="197">
        <f t="shared" si="3"/>
        <v>97.294387873620195</v>
      </c>
      <c r="G10" s="197">
        <f t="shared" si="3"/>
        <v>99.726747570460702</v>
      </c>
      <c r="H10" s="197">
        <f t="shared" si="3"/>
        <v>158.79032690425345</v>
      </c>
      <c r="I10" s="197">
        <f t="shared" si="3"/>
        <v>104.77541416621526</v>
      </c>
      <c r="J10" s="197">
        <f t="shared" si="3"/>
        <v>107.39479952037064</v>
      </c>
      <c r="K10" s="197">
        <f t="shared" si="3"/>
        <v>110.07966950837988</v>
      </c>
      <c r="L10" s="197">
        <f t="shared" si="3"/>
        <v>112.83166124608937</v>
      </c>
      <c r="M10" s="197">
        <f t="shared" si="3"/>
        <v>243.66090719687733</v>
      </c>
      <c r="N10" s="197">
        <f t="shared" si="3"/>
        <v>118.54376409667265</v>
      </c>
      <c r="O10" s="197">
        <f t="shared" si="3"/>
        <v>121.50735819908945</v>
      </c>
      <c r="P10" s="197">
        <f t="shared" si="3"/>
        <v>124.54504215406668</v>
      </c>
      <c r="Q10" s="197">
        <f t="shared" si="3"/>
        <v>127.65866820791834</v>
      </c>
      <c r="R10" s="197">
        <f t="shared" si="3"/>
        <v>203.26504323802186</v>
      </c>
      <c r="S10" s="197">
        <f t="shared" si="3"/>
        <v>134.12138828594419</v>
      </c>
      <c r="T10" s="197">
        <f t="shared" si="3"/>
        <v>137.47442299309279</v>
      </c>
      <c r="U10" s="197">
        <f t="shared" si="3"/>
        <v>140.91128356792012</v>
      </c>
      <c r="V10" s="197">
        <f t="shared" si="3"/>
        <v>144.43406565711814</v>
      </c>
      <c r="W10" s="198">
        <f t="shared" si="3"/>
        <v>311.90656132758562</v>
      </c>
      <c r="X10" s="130"/>
    </row>
    <row r="11" spans="1:30">
      <c r="A11" s="74"/>
      <c r="B11" s="7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2"/>
      <c r="X11" s="130"/>
    </row>
    <row r="12" spans="1:30">
      <c r="A12" s="77">
        <v>2</v>
      </c>
      <c r="B12" s="78" t="s">
        <v>111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2"/>
      <c r="X12" s="130"/>
    </row>
    <row r="13" spans="1:30">
      <c r="A13" s="79" t="s">
        <v>8</v>
      </c>
      <c r="B13" s="80" t="s">
        <v>125</v>
      </c>
      <c r="C13" s="81">
        <f>$Q$27</f>
        <v>1156.5451171084544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2"/>
      <c r="X13" s="130"/>
    </row>
    <row r="14" spans="1:30">
      <c r="A14" s="79" t="s">
        <v>11</v>
      </c>
      <c r="B14" s="80" t="s">
        <v>127</v>
      </c>
      <c r="C14" s="81">
        <f>T27</f>
        <v>693.92707026507264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  <c r="X14" s="130"/>
    </row>
    <row r="15" spans="1:30">
      <c r="A15" s="79" t="s">
        <v>13</v>
      </c>
      <c r="B15" s="80" t="s">
        <v>97</v>
      </c>
      <c r="C15" s="81"/>
      <c r="D15" s="81">
        <f t="shared" ref="D15:W15" si="4">0.001*mwh*ene*(1+esc)^(D$1-$C$1)</f>
        <v>80.200724119505765</v>
      </c>
      <c r="E15" s="81">
        <f t="shared" si="4"/>
        <v>82.205742222493413</v>
      </c>
      <c r="F15" s="81">
        <f t="shared" si="4"/>
        <v>84.260885778055751</v>
      </c>
      <c r="G15" s="81">
        <f t="shared" si="4"/>
        <v>86.367407922507127</v>
      </c>
      <c r="H15" s="81">
        <f t="shared" si="4"/>
        <v>88.5265931205698</v>
      </c>
      <c r="I15" s="81">
        <f t="shared" si="4"/>
        <v>90.739757948584042</v>
      </c>
      <c r="J15" s="81">
        <f t="shared" si="4"/>
        <v>93.008251897298649</v>
      </c>
      <c r="K15" s="81">
        <f t="shared" si="4"/>
        <v>95.333458194731108</v>
      </c>
      <c r="L15" s="81">
        <f t="shared" si="4"/>
        <v>97.716794649599365</v>
      </c>
      <c r="M15" s="81">
        <f t="shared" si="4"/>
        <v>100.15971451583935</v>
      </c>
      <c r="N15" s="81">
        <f t="shared" si="4"/>
        <v>102.66370737873532</v>
      </c>
      <c r="O15" s="81">
        <f t="shared" si="4"/>
        <v>105.2303000632037</v>
      </c>
      <c r="P15" s="81">
        <f t="shared" si="4"/>
        <v>107.86105756478379</v>
      </c>
      <c r="Q15" s="81">
        <f t="shared" si="4"/>
        <v>110.55758400390337</v>
      </c>
      <c r="R15" s="81">
        <f t="shared" si="4"/>
        <v>113.32152360400097</v>
      </c>
      <c r="S15" s="81">
        <f t="shared" si="4"/>
        <v>116.15456169410099</v>
      </c>
      <c r="T15" s="81">
        <f t="shared" si="4"/>
        <v>119.0584257364535</v>
      </c>
      <c r="U15" s="81">
        <f t="shared" si="4"/>
        <v>122.03488637986484</v>
      </c>
      <c r="V15" s="81">
        <f t="shared" si="4"/>
        <v>125.08575853936146</v>
      </c>
      <c r="W15" s="82">
        <f t="shared" si="4"/>
        <v>128.21290250284548</v>
      </c>
      <c r="X15" s="130"/>
    </row>
    <row r="16" spans="1:30">
      <c r="A16" s="79" t="s">
        <v>16</v>
      </c>
      <c r="B16" s="80" t="s">
        <v>98</v>
      </c>
      <c r="C16" s="81"/>
      <c r="D16" s="81">
        <f t="shared" ref="D16:W16" si="5">0.001*mwh*$K$29*(1+esc)^(D$1-$C$1)</f>
        <v>16.040144823901155</v>
      </c>
      <c r="E16" s="81">
        <f t="shared" si="5"/>
        <v>16.441148444498683</v>
      </c>
      <c r="F16" s="81">
        <f t="shared" si="5"/>
        <v>16.852177155611152</v>
      </c>
      <c r="G16" s="81">
        <f t="shared" si="5"/>
        <v>17.273481584501425</v>
      </c>
      <c r="H16" s="81">
        <f t="shared" si="5"/>
        <v>17.705318624113961</v>
      </c>
      <c r="I16" s="81">
        <f t="shared" si="5"/>
        <v>18.147951589716808</v>
      </c>
      <c r="J16" s="81">
        <f t="shared" si="5"/>
        <v>18.601650379459731</v>
      </c>
      <c r="K16" s="81">
        <f t="shared" si="5"/>
        <v>19.066691638946221</v>
      </c>
      <c r="L16" s="81">
        <f t="shared" si="5"/>
        <v>19.543358929919872</v>
      </c>
      <c r="M16" s="81">
        <f t="shared" si="5"/>
        <v>20.03194290316787</v>
      </c>
      <c r="N16" s="81">
        <f t="shared" si="5"/>
        <v>20.532741475747066</v>
      </c>
      <c r="O16" s="81">
        <f t="shared" si="5"/>
        <v>21.046060012640741</v>
      </c>
      <c r="P16" s="81">
        <f t="shared" si="5"/>
        <v>21.572211512956759</v>
      </c>
      <c r="Q16" s="81">
        <f t="shared" si="5"/>
        <v>22.111516800780677</v>
      </c>
      <c r="R16" s="81">
        <f t="shared" si="5"/>
        <v>22.664304720800196</v>
      </c>
      <c r="S16" s="81">
        <f t="shared" si="5"/>
        <v>23.2309123388202</v>
      </c>
      <c r="T16" s="81">
        <f t="shared" si="5"/>
        <v>23.811685147290699</v>
      </c>
      <c r="U16" s="81">
        <f t="shared" si="5"/>
        <v>24.40697727597297</v>
      </c>
      <c r="V16" s="81">
        <f t="shared" si="5"/>
        <v>25.017151707872294</v>
      </c>
      <c r="W16" s="81">
        <f t="shared" si="5"/>
        <v>25.6425805005691</v>
      </c>
      <c r="X16" s="105"/>
    </row>
    <row r="17" spans="1:24">
      <c r="A17" s="79" t="s">
        <v>19</v>
      </c>
      <c r="B17" s="80" t="s">
        <v>117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2"/>
      <c r="X17" s="130"/>
    </row>
    <row r="18" spans="1:24">
      <c r="A18" s="79" t="s">
        <v>21</v>
      </c>
      <c r="B18" s="80" t="s">
        <v>150</v>
      </c>
      <c r="C18" s="81"/>
      <c r="D18" s="81">
        <f t="shared" ref="D18:W18" si="6">0.001*cap*12*(dem)*(1+esc)^(D$1-$C$1)</f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1">
        <f t="shared" si="6"/>
        <v>0</v>
      </c>
      <c r="P18" s="81">
        <f t="shared" si="6"/>
        <v>0</v>
      </c>
      <c r="Q18" s="81">
        <f t="shared" si="6"/>
        <v>0</v>
      </c>
      <c r="R18" s="81">
        <f t="shared" si="6"/>
        <v>0</v>
      </c>
      <c r="S18" s="81">
        <f t="shared" si="6"/>
        <v>0</v>
      </c>
      <c r="T18" s="81">
        <f t="shared" si="6"/>
        <v>0</v>
      </c>
      <c r="U18" s="81">
        <f t="shared" si="6"/>
        <v>0</v>
      </c>
      <c r="V18" s="81">
        <f t="shared" si="6"/>
        <v>0</v>
      </c>
      <c r="W18" s="82">
        <f t="shared" si="6"/>
        <v>0</v>
      </c>
      <c r="X18" s="130"/>
    </row>
    <row r="19" spans="1:24">
      <c r="A19" s="199" t="s">
        <v>35</v>
      </c>
      <c r="B19" s="355" t="s">
        <v>426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202">
        <f>IF($V$23&lt;=0,0,(1+esc)*$V$23/(dis-esc))</f>
        <v>232.42262819474001</v>
      </c>
      <c r="X19" s="130"/>
    </row>
    <row r="20" spans="1:24">
      <c r="A20" s="195" t="s">
        <v>36</v>
      </c>
      <c r="B20" s="196" t="s">
        <v>99</v>
      </c>
      <c r="C20" s="197">
        <f>SUM(C13:C19)</f>
        <v>1850.472187373527</v>
      </c>
      <c r="D20" s="197">
        <f t="shared" ref="D20:W20" si="7">SUM(D13:D19)</f>
        <v>96.240868943406923</v>
      </c>
      <c r="E20" s="197">
        <f t="shared" si="7"/>
        <v>98.646890666992093</v>
      </c>
      <c r="F20" s="197">
        <f t="shared" si="7"/>
        <v>101.1130629336669</v>
      </c>
      <c r="G20" s="197">
        <f t="shared" si="7"/>
        <v>103.64088950700855</v>
      </c>
      <c r="H20" s="197">
        <f t="shared" si="7"/>
        <v>106.23191174468376</v>
      </c>
      <c r="I20" s="197">
        <f t="shared" si="7"/>
        <v>108.88770953830085</v>
      </c>
      <c r="J20" s="197">
        <f t="shared" si="7"/>
        <v>111.60990227675838</v>
      </c>
      <c r="K20" s="197">
        <f t="shared" si="7"/>
        <v>114.40014983367733</v>
      </c>
      <c r="L20" s="197">
        <f t="shared" si="7"/>
        <v>117.26015357951924</v>
      </c>
      <c r="M20" s="197">
        <f t="shared" si="7"/>
        <v>120.19165741900723</v>
      </c>
      <c r="N20" s="197">
        <f t="shared" si="7"/>
        <v>123.19644885448238</v>
      </c>
      <c r="O20" s="197">
        <f t="shared" si="7"/>
        <v>126.27636007584444</v>
      </c>
      <c r="P20" s="197">
        <f t="shared" si="7"/>
        <v>129.43326907774056</v>
      </c>
      <c r="Q20" s="197">
        <f t="shared" si="7"/>
        <v>132.66910080468404</v>
      </c>
      <c r="R20" s="197">
        <f t="shared" si="7"/>
        <v>135.98582832480116</v>
      </c>
      <c r="S20" s="197">
        <f t="shared" si="7"/>
        <v>139.38547403292119</v>
      </c>
      <c r="T20" s="197">
        <f t="shared" si="7"/>
        <v>142.87011088374419</v>
      </c>
      <c r="U20" s="197">
        <f t="shared" si="7"/>
        <v>146.44186365583781</v>
      </c>
      <c r="V20" s="197">
        <f t="shared" si="7"/>
        <v>150.10291024723375</v>
      </c>
      <c r="W20" s="197">
        <f t="shared" si="7"/>
        <v>386.27811119815459</v>
      </c>
      <c r="X20" s="105"/>
    </row>
    <row r="21" spans="1:2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  <c r="X21" s="344">
        <f>0.5*C4*(1+esc)^20</f>
        <v>3790.2676856629882</v>
      </c>
    </row>
    <row r="22" spans="1:24">
      <c r="A22" s="77">
        <v>3</v>
      </c>
      <c r="B22" s="78" t="s">
        <v>112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6"/>
      <c r="X22" s="344">
        <f>(1+esc)*V23/(dis-esc)</f>
        <v>232.42262819474001</v>
      </c>
    </row>
    <row r="23" spans="1:24">
      <c r="A23" s="79" t="s">
        <v>8</v>
      </c>
      <c r="B23" s="80" t="s">
        <v>100</v>
      </c>
      <c r="C23" s="81">
        <f t="shared" ref="C23:W23" si="8">C20-C10</f>
        <v>-2775.7082810602906</v>
      </c>
      <c r="D23" s="81">
        <f t="shared" si="8"/>
        <v>3.634669896534632</v>
      </c>
      <c r="E23" s="81">
        <f t="shared" si="8"/>
        <v>3.72553664394799</v>
      </c>
      <c r="F23" s="81">
        <f t="shared" si="8"/>
        <v>3.8186750600467008</v>
      </c>
      <c r="G23" s="81">
        <f t="shared" si="8"/>
        <v>3.9141419365478498</v>
      </c>
      <c r="H23" s="81">
        <f t="shared" si="8"/>
        <v>-52.558415159569691</v>
      </c>
      <c r="I23" s="81">
        <f t="shared" si="8"/>
        <v>4.1122953720855975</v>
      </c>
      <c r="J23" s="81">
        <f t="shared" si="8"/>
        <v>4.2151027563877363</v>
      </c>
      <c r="K23" s="81">
        <f t="shared" si="8"/>
        <v>4.3204803252974529</v>
      </c>
      <c r="L23" s="81">
        <f t="shared" si="8"/>
        <v>4.4284923334298725</v>
      </c>
      <c r="M23" s="81">
        <f t="shared" si="8"/>
        <v>-123.4692497778701</v>
      </c>
      <c r="N23" s="81">
        <f t="shared" si="8"/>
        <v>4.6526847578097374</v>
      </c>
      <c r="O23" s="81">
        <f t="shared" si="8"/>
        <v>4.7690018767549844</v>
      </c>
      <c r="P23" s="81">
        <f t="shared" si="8"/>
        <v>4.8882269236738836</v>
      </c>
      <c r="Q23" s="81">
        <f t="shared" si="8"/>
        <v>5.0104325967656962</v>
      </c>
      <c r="R23" s="81">
        <f t="shared" si="8"/>
        <v>-67.279214913220699</v>
      </c>
      <c r="S23" s="81">
        <f t="shared" si="8"/>
        <v>5.2640857469770026</v>
      </c>
      <c r="T23" s="81">
        <f t="shared" si="8"/>
        <v>5.3956878906514021</v>
      </c>
      <c r="U23" s="81">
        <f t="shared" si="8"/>
        <v>5.5305800879176843</v>
      </c>
      <c r="V23" s="81">
        <f t="shared" si="8"/>
        <v>5.6688445901156115</v>
      </c>
      <c r="W23" s="82">
        <f t="shared" si="8"/>
        <v>74.37154987056897</v>
      </c>
      <c r="X23" s="130"/>
    </row>
    <row r="24" spans="1:24">
      <c r="A24" s="79" t="s">
        <v>11</v>
      </c>
      <c r="B24" s="80" t="s">
        <v>101</v>
      </c>
      <c r="C24" s="81">
        <f>C23</f>
        <v>-2775.7082810602906</v>
      </c>
      <c r="D24" s="81">
        <f t="shared" ref="D24:W24" si="9">D23/(1+dis)^(D$1-$C$1)</f>
        <v>3.4615903776520303</v>
      </c>
      <c r="E24" s="81">
        <f t="shared" si="9"/>
        <v>3.3791715591364988</v>
      </c>
      <c r="F24" s="81">
        <f t="shared" si="9"/>
        <v>3.298715093442782</v>
      </c>
      <c r="G24" s="81">
        <f t="shared" si="9"/>
        <v>3.2201742578846053</v>
      </c>
      <c r="H24" s="81">
        <f t="shared" si="9"/>
        <v>-41.180893545635378</v>
      </c>
      <c r="I24" s="81">
        <f t="shared" si="9"/>
        <v>3.0686581221678226</v>
      </c>
      <c r="J24" s="81">
        <f t="shared" si="9"/>
        <v>2.9955948335447777</v>
      </c>
      <c r="K24" s="81">
        <f t="shared" si="9"/>
        <v>2.9242711470318228</v>
      </c>
      <c r="L24" s="81">
        <f t="shared" si="9"/>
        <v>2.8546456435310543</v>
      </c>
      <c r="M24" s="81">
        <f t="shared" si="9"/>
        <v>-75.799408843368909</v>
      </c>
      <c r="N24" s="81">
        <f t="shared" si="9"/>
        <v>2.7203284165395005</v>
      </c>
      <c r="O24" s="81">
        <f t="shared" si="9"/>
        <v>2.6555586923361814</v>
      </c>
      <c r="P24" s="81">
        <f t="shared" si="9"/>
        <v>2.5923311044234278</v>
      </c>
      <c r="Q24" s="81">
        <f t="shared" si="9"/>
        <v>2.5306089352704721</v>
      </c>
      <c r="R24" s="81">
        <f t="shared" si="9"/>
        <v>-32.362452719396146</v>
      </c>
      <c r="S24" s="81">
        <f t="shared" si="9"/>
        <v>2.4115383334408715</v>
      </c>
      <c r="T24" s="81">
        <f t="shared" si="9"/>
        <v>2.3541207540732203</v>
      </c>
      <c r="U24" s="81">
        <f t="shared" si="9"/>
        <v>2.2980702599286187</v>
      </c>
      <c r="V24" s="81">
        <f t="shared" si="9"/>
        <v>2.2433543013588837</v>
      </c>
      <c r="W24" s="82">
        <f t="shared" si="9"/>
        <v>28.029854971182314</v>
      </c>
      <c r="X24" s="130"/>
    </row>
    <row r="25" spans="1:24">
      <c r="A25" s="79" t="s">
        <v>13</v>
      </c>
      <c r="B25" s="80" t="s">
        <v>102</v>
      </c>
      <c r="C25" s="81">
        <f>C23</f>
        <v>-2775.7082810602906</v>
      </c>
      <c r="D25" s="81">
        <f>SUM($C24:D24)</f>
        <v>-2772.2466906826385</v>
      </c>
      <c r="E25" s="81">
        <f>SUM($C24:E24)</f>
        <v>-2768.867519123502</v>
      </c>
      <c r="F25" s="81">
        <f>SUM($C24:F24)</f>
        <v>-2765.5688040300593</v>
      </c>
      <c r="G25" s="81">
        <f>SUM($C24:G24)</f>
        <v>-2762.3486297721747</v>
      </c>
      <c r="H25" s="81">
        <f>SUM($C24:H24)</f>
        <v>-2803.5295233178099</v>
      </c>
      <c r="I25" s="81">
        <f>SUM($C24:I24)</f>
        <v>-2800.4608651956419</v>
      </c>
      <c r="J25" s="81">
        <f>SUM($C24:J24)</f>
        <v>-2797.4652703620973</v>
      </c>
      <c r="K25" s="81">
        <f>SUM($C24:K24)</f>
        <v>-2794.5409992150653</v>
      </c>
      <c r="L25" s="81">
        <f>SUM($C24:L24)</f>
        <v>-2791.6863535715343</v>
      </c>
      <c r="M25" s="81">
        <f>SUM($C24:M24)</f>
        <v>-2867.4857624149031</v>
      </c>
      <c r="N25" s="81">
        <f>SUM($C24:N24)</f>
        <v>-2864.7654339983637</v>
      </c>
      <c r="O25" s="81">
        <f>SUM($C24:O24)</f>
        <v>-2862.1098753060273</v>
      </c>
      <c r="P25" s="81">
        <f>SUM($C24:P24)</f>
        <v>-2859.5175442016039</v>
      </c>
      <c r="Q25" s="81">
        <f>SUM($C24:Q24)</f>
        <v>-2856.9869352663336</v>
      </c>
      <c r="R25" s="81">
        <f>SUM($C24:R24)</f>
        <v>-2889.3493879857297</v>
      </c>
      <c r="S25" s="81">
        <f>SUM($C24:S24)</f>
        <v>-2886.9378496522886</v>
      </c>
      <c r="T25" s="81">
        <f>SUM($C24:T24)</f>
        <v>-2884.5837288982152</v>
      </c>
      <c r="U25" s="81">
        <f>SUM($C24:U24)</f>
        <v>-2882.2856586382868</v>
      </c>
      <c r="V25" s="81">
        <f>SUM($C24:V24)</f>
        <v>-2880.0423043369278</v>
      </c>
      <c r="W25" s="82">
        <f>SUM($C24:W24)</f>
        <v>-2852.0124493657454</v>
      </c>
      <c r="X25" s="130"/>
    </row>
    <row r="26" spans="1:24">
      <c r="A26" s="74"/>
      <c r="B26" s="75"/>
      <c r="C26" s="75"/>
      <c r="D26" s="83"/>
      <c r="E26" s="83"/>
      <c r="F26" s="75"/>
      <c r="G26" s="75"/>
      <c r="H26" s="75"/>
      <c r="I26" s="75"/>
      <c r="J26" s="75"/>
      <c r="K26" s="216"/>
      <c r="L26" s="75"/>
      <c r="M26" s="75"/>
      <c r="N26" s="216"/>
      <c r="O26" s="75"/>
      <c r="P26" s="75"/>
      <c r="Q26" s="216"/>
      <c r="R26" s="75"/>
      <c r="S26" s="75"/>
      <c r="T26" s="216"/>
      <c r="U26" s="75"/>
      <c r="V26" s="75"/>
      <c r="W26" s="76"/>
      <c r="X26" s="129"/>
    </row>
    <row r="27" spans="1:24">
      <c r="A27" s="74"/>
      <c r="B27" s="84" t="s">
        <v>103</v>
      </c>
      <c r="C27" s="75"/>
      <c r="D27" s="75" t="s">
        <v>104</v>
      </c>
      <c r="E27" s="122">
        <f>'Summary - Cash'!C9</f>
        <v>2.5000000000000001E-2</v>
      </c>
      <c r="F27" s="75"/>
      <c r="G27" s="75" t="s">
        <v>105</v>
      </c>
      <c r="H27" s="122">
        <f>'Summary - Cash'!F9</f>
        <v>0.05</v>
      </c>
      <c r="I27" s="75"/>
      <c r="J27" s="214" t="s">
        <v>106</v>
      </c>
      <c r="K27" s="218">
        <f>Energy!J16</f>
        <v>625.95687117663044</v>
      </c>
      <c r="L27" s="215"/>
      <c r="M27" s="220" t="s">
        <v>153</v>
      </c>
      <c r="N27" s="221">
        <f>Energy!I16</f>
        <v>176.27797603973011</v>
      </c>
      <c r="O27" s="215"/>
      <c r="P27" s="219" t="s">
        <v>125</v>
      </c>
      <c r="Q27" s="218">
        <f>'Summary - Cash'!F26*'Summary - Cash'!B26</f>
        <v>1156.5451171084544</v>
      </c>
      <c r="R27" s="215"/>
      <c r="S27" s="219" t="s">
        <v>126</v>
      </c>
      <c r="T27" s="222">
        <f>'Summary - Cash'!G26*'Summary - Cash'!B26</f>
        <v>693.92707026507264</v>
      </c>
      <c r="U27" s="215"/>
      <c r="V27" s="75"/>
      <c r="W27" s="76"/>
      <c r="X27" s="129"/>
    </row>
    <row r="28" spans="1:24">
      <c r="A28" s="74"/>
      <c r="B28" s="75"/>
      <c r="C28" s="75"/>
      <c r="D28" s="75"/>
      <c r="E28" s="216"/>
      <c r="F28" s="75"/>
      <c r="G28" s="75"/>
      <c r="H28" s="75"/>
      <c r="I28" s="75"/>
      <c r="J28" s="75"/>
      <c r="K28" s="217"/>
      <c r="L28" s="75"/>
      <c r="M28" s="75"/>
      <c r="N28" s="204"/>
      <c r="O28" s="75"/>
      <c r="P28" s="75"/>
      <c r="Q28" s="204"/>
      <c r="R28" s="75"/>
      <c r="S28" s="75"/>
      <c r="T28" s="204"/>
      <c r="U28" s="75"/>
      <c r="V28" s="75"/>
      <c r="W28" s="76"/>
      <c r="X28" s="129"/>
    </row>
    <row r="29" spans="1:24">
      <c r="A29" s="74"/>
      <c r="B29" s="75"/>
      <c r="C29" s="75"/>
      <c r="D29" s="223" t="s">
        <v>107</v>
      </c>
      <c r="E29" s="218">
        <f>'Summary - Cash'!H14</f>
        <v>125</v>
      </c>
      <c r="F29" s="215" t="s">
        <v>119</v>
      </c>
      <c r="G29" s="336" t="s">
        <v>382</v>
      </c>
      <c r="H29" s="93"/>
      <c r="I29" s="85" t="s">
        <v>152</v>
      </c>
      <c r="J29" s="219" t="s">
        <v>108</v>
      </c>
      <c r="K29" s="218">
        <f>'Summary - Cash'!C10</f>
        <v>25</v>
      </c>
      <c r="L29" s="215" t="s">
        <v>119</v>
      </c>
      <c r="M29" s="86" t="s">
        <v>120</v>
      </c>
      <c r="N29" s="231">
        <v>0</v>
      </c>
      <c r="O29" s="88" t="s">
        <v>109</v>
      </c>
      <c r="P29" s="89" t="s">
        <v>118</v>
      </c>
      <c r="Q29" s="87"/>
      <c r="R29" s="75" t="s">
        <v>119</v>
      </c>
      <c r="S29" s="75"/>
      <c r="T29" s="75"/>
      <c r="U29" s="75"/>
      <c r="V29" s="75"/>
      <c r="W29" s="76"/>
      <c r="X29" s="129"/>
    </row>
    <row r="30" spans="1:24">
      <c r="A30" s="74"/>
      <c r="B30" s="75"/>
      <c r="C30" s="75"/>
      <c r="D30" s="75"/>
      <c r="E30" s="204"/>
      <c r="F30" s="75"/>
      <c r="G30" s="75"/>
      <c r="H30" s="75"/>
      <c r="I30" s="75"/>
      <c r="J30" s="75"/>
      <c r="K30" s="204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  <c r="X30" s="129"/>
    </row>
    <row r="31" spans="1:24">
      <c r="A31" s="74"/>
      <c r="B31" s="90" t="s">
        <v>121</v>
      </c>
      <c r="C31" s="75"/>
      <c r="D31" s="75"/>
      <c r="E31" s="75" t="s">
        <v>122</v>
      </c>
      <c r="F31" s="75"/>
      <c r="G31" s="75"/>
      <c r="H31" s="91" t="e">
        <f>IRR($C23:$W23)</f>
        <v>#DIV/0!</v>
      </c>
      <c r="I31" s="85"/>
      <c r="J31" s="85" t="s">
        <v>102</v>
      </c>
      <c r="K31" s="92">
        <f>$W25</f>
        <v>-2852.0124493657454</v>
      </c>
      <c r="L31" s="104"/>
      <c r="M31" s="85"/>
      <c r="N31" s="85"/>
      <c r="O31" s="85"/>
      <c r="P31" s="86" t="s">
        <v>123</v>
      </c>
      <c r="Q31" s="93">
        <f>MATCH(1,D25:W25)</f>
        <v>20</v>
      </c>
      <c r="R31" s="75"/>
      <c r="S31" s="75"/>
      <c r="T31" s="75"/>
      <c r="U31" s="75"/>
      <c r="V31" s="75"/>
      <c r="W31" s="76"/>
      <c r="X31" s="129"/>
    </row>
    <row r="32" spans="1:24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6"/>
    </row>
    <row r="33" spans="1:13">
      <c r="B33" s="2" t="s">
        <v>113</v>
      </c>
      <c r="D33" s="3"/>
      <c r="E33" s="3"/>
      <c r="F33" s="3"/>
      <c r="G33" s="3"/>
      <c r="H33" s="3"/>
    </row>
    <row r="34" spans="1:13">
      <c r="A34">
        <v>1</v>
      </c>
      <c r="B34" t="s">
        <v>369</v>
      </c>
      <c r="D34" s="4"/>
    </row>
    <row r="35" spans="1:13">
      <c r="A35">
        <v>2</v>
      </c>
      <c r="B35" t="s">
        <v>131</v>
      </c>
      <c r="L35" s="224"/>
      <c r="M35" s="138" t="s">
        <v>307</v>
      </c>
    </row>
    <row r="36" spans="1:13">
      <c r="A36">
        <v>3</v>
      </c>
      <c r="B36" s="138" t="s">
        <v>383</v>
      </c>
      <c r="L36" s="227"/>
      <c r="M36" s="138" t="s">
        <v>308</v>
      </c>
    </row>
    <row r="37" spans="1:13">
      <c r="A37">
        <v>4</v>
      </c>
      <c r="B37" s="138" t="s">
        <v>393</v>
      </c>
    </row>
    <row r="38" spans="1:13">
      <c r="A38">
        <v>5</v>
      </c>
      <c r="B38" s="138" t="s">
        <v>425</v>
      </c>
    </row>
    <row r="41" spans="1:13">
      <c r="B41" s="6"/>
    </row>
  </sheetData>
  <sheetProtection selectLockedCells="1"/>
  <printOptions horizontalCentered="1"/>
  <pageMargins left="1" right="1" top="2.25" bottom="1" header="0.5" footer="0.5"/>
  <pageSetup paperSize="3" scale="80" orientation="landscape" r:id="rId1"/>
  <headerFooter alignWithMargins="0">
    <oddHeader>&amp;L&amp;"Arial,Bold Italic"&amp;11Privileged and Confidential&amp;C&amp;"Arial,Bold Italic"&amp;11Ten Mile River Feasibility Study
Phase 1
&amp;R&amp;"Arial,Bold Italic"&amp;11&amp;A</oddHeader>
    <oddFooter>&amp;L&amp;G&amp;C&amp;"Arial,Bold Italic"For Planning Purposes Only&amp;R&amp;"Arial,Bold Italic"&amp;F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/>
  </sheetPr>
  <dimension ref="A1:AD41"/>
  <sheetViews>
    <sheetView view="pageBreakPreview" zoomScale="70" zoomScaleNormal="100" zoomScaleSheetLayoutView="70" workbookViewId="0">
      <selection activeCell="H11" sqref="H11"/>
    </sheetView>
  </sheetViews>
  <sheetFormatPr defaultRowHeight="12.75"/>
  <cols>
    <col min="1" max="1" width="4.5703125" customWidth="1"/>
    <col min="2" max="2" width="30.85546875" customWidth="1"/>
    <col min="3" max="3" width="9.28515625" bestFit="1" customWidth="1"/>
    <col min="4" max="4" width="9.42578125" bestFit="1" customWidth="1"/>
    <col min="5" max="7" width="9.28515625" bestFit="1" customWidth="1"/>
    <col min="8" max="8" width="9.85546875" bestFit="1" customWidth="1"/>
    <col min="9" max="9" width="9.28515625" bestFit="1" customWidth="1"/>
    <col min="10" max="10" width="12.28515625" customWidth="1"/>
    <col min="11" max="11" width="12.42578125" customWidth="1"/>
    <col min="12" max="12" width="10.42578125" bestFit="1" customWidth="1"/>
    <col min="13" max="23" width="9.28515625" bestFit="1" customWidth="1"/>
    <col min="24" max="24" width="25.28515625" style="112" customWidth="1"/>
  </cols>
  <sheetData>
    <row r="1" spans="1:30" ht="26.25" thickBot="1">
      <c r="A1" s="228" t="s">
        <v>0</v>
      </c>
      <c r="B1" s="229" t="s">
        <v>92</v>
      </c>
      <c r="C1" s="229">
        <v>0</v>
      </c>
      <c r="D1" s="229">
        <v>1</v>
      </c>
      <c r="E1" s="229">
        <v>2</v>
      </c>
      <c r="F1" s="229">
        <v>3</v>
      </c>
      <c r="G1" s="229">
        <v>4</v>
      </c>
      <c r="H1" s="229">
        <v>5</v>
      </c>
      <c r="I1" s="229">
        <v>6</v>
      </c>
      <c r="J1" s="229">
        <v>7</v>
      </c>
      <c r="K1" s="229">
        <v>8</v>
      </c>
      <c r="L1" s="229">
        <v>9</v>
      </c>
      <c r="M1" s="229">
        <v>10</v>
      </c>
      <c r="N1" s="229">
        <v>11</v>
      </c>
      <c r="O1" s="229">
        <v>12</v>
      </c>
      <c r="P1" s="229">
        <v>13</v>
      </c>
      <c r="Q1" s="229">
        <v>14</v>
      </c>
      <c r="R1" s="229">
        <v>15</v>
      </c>
      <c r="S1" s="229">
        <v>16</v>
      </c>
      <c r="T1" s="229">
        <v>17</v>
      </c>
      <c r="U1" s="229">
        <v>18</v>
      </c>
      <c r="V1" s="229">
        <v>19</v>
      </c>
      <c r="W1" s="230">
        <v>20</v>
      </c>
      <c r="X1" s="120" t="s">
        <v>199</v>
      </c>
      <c r="AA1" s="1"/>
      <c r="AB1" s="1"/>
      <c r="AC1" s="1"/>
      <c r="AD1" s="1"/>
    </row>
    <row r="2" spans="1:30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6"/>
      <c r="X2" s="129"/>
    </row>
    <row r="3" spans="1:30">
      <c r="A3" s="77">
        <v>1</v>
      </c>
      <c r="B3" s="78" t="s">
        <v>110</v>
      </c>
      <c r="C3" s="216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129"/>
    </row>
    <row r="4" spans="1:30">
      <c r="A4" s="79" t="s">
        <v>8</v>
      </c>
      <c r="B4" s="225" t="s">
        <v>93</v>
      </c>
      <c r="C4" s="227">
        <f>'Costs C'!F137</f>
        <v>4720.7115984317606</v>
      </c>
      <c r="D4" s="226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130"/>
    </row>
    <row r="5" spans="1:30">
      <c r="A5" s="79" t="s">
        <v>11</v>
      </c>
      <c r="B5" s="80" t="s">
        <v>94</v>
      </c>
      <c r="C5" s="197"/>
      <c r="D5" s="81">
        <f t="shared" ref="D5:W5" si="0">mwh*(0.015)*(1+esc)^(D$1-$C$1)</f>
        <v>12.774966824208132</v>
      </c>
      <c r="E5" s="81">
        <f t="shared" si="0"/>
        <v>13.094340994813335</v>
      </c>
      <c r="F5" s="81">
        <f t="shared" si="0"/>
        <v>13.421699519683669</v>
      </c>
      <c r="G5" s="81">
        <f t="shared" si="0"/>
        <v>13.757242007675758</v>
      </c>
      <c r="H5" s="81">
        <f t="shared" si="0"/>
        <v>14.101173057867651</v>
      </c>
      <c r="I5" s="81">
        <f t="shared" si="0"/>
        <v>14.453702384314342</v>
      </c>
      <c r="J5" s="81">
        <f t="shared" si="0"/>
        <v>14.815044943922201</v>
      </c>
      <c r="K5" s="81">
        <f t="shared" si="0"/>
        <v>15.185421067520254</v>
      </c>
      <c r="L5" s="81">
        <f t="shared" si="0"/>
        <v>15.565056594208258</v>
      </c>
      <c r="M5" s="81">
        <f t="shared" si="0"/>
        <v>15.954183009063465</v>
      </c>
      <c r="N5" s="81">
        <f t="shared" si="0"/>
        <v>16.35303758429005</v>
      </c>
      <c r="O5" s="81">
        <f t="shared" si="0"/>
        <v>16.761863523897301</v>
      </c>
      <c r="P5" s="81">
        <f t="shared" si="0"/>
        <v>17.180910111994734</v>
      </c>
      <c r="Q5" s="81">
        <f t="shared" si="0"/>
        <v>17.6104328647946</v>
      </c>
      <c r="R5" s="81">
        <f t="shared" si="0"/>
        <v>18.050693686414466</v>
      </c>
      <c r="S5" s="81">
        <f t="shared" si="0"/>
        <v>18.501961028574826</v>
      </c>
      <c r="T5" s="81">
        <f t="shared" si="0"/>
        <v>18.964510054289196</v>
      </c>
      <c r="U5" s="81">
        <f t="shared" si="0"/>
        <v>19.438622805646425</v>
      </c>
      <c r="V5" s="81">
        <f t="shared" si="0"/>
        <v>19.924588375787586</v>
      </c>
      <c r="W5" s="81">
        <f t="shared" si="0"/>
        <v>20.422703085182274</v>
      </c>
      <c r="X5" s="130"/>
    </row>
    <row r="6" spans="1:30">
      <c r="A6" s="79" t="s">
        <v>13</v>
      </c>
      <c r="B6" s="80" t="s">
        <v>95</v>
      </c>
      <c r="C6" s="81"/>
      <c r="D6" s="81"/>
      <c r="E6" s="81"/>
      <c r="F6" s="81"/>
      <c r="G6" s="81"/>
      <c r="H6" s="81">
        <f>50*(1+esc)^(H1-$C1)</f>
        <v>56.570410644531236</v>
      </c>
      <c r="I6" s="81"/>
      <c r="J6" s="81"/>
      <c r="K6" s="81"/>
      <c r="L6" s="81"/>
      <c r="M6" s="81">
        <f>100*(1+esc)^(M1-$C1)</f>
        <v>128.00845441963571</v>
      </c>
      <c r="N6" s="81"/>
      <c r="O6" s="81"/>
      <c r="P6" s="81"/>
      <c r="Q6" s="81"/>
      <c r="R6" s="81">
        <f>50*(1+esc)^(R1-$C1)</f>
        <v>72.414908324905525</v>
      </c>
      <c r="S6" s="81"/>
      <c r="T6" s="81"/>
      <c r="U6" s="81"/>
      <c r="V6" s="81"/>
      <c r="W6" s="82">
        <f>100*(1+esc)^(W1-$C1)</f>
        <v>163.86164402903955</v>
      </c>
      <c r="X6" s="130"/>
    </row>
    <row r="7" spans="1:30">
      <c r="A7" s="79" t="s">
        <v>16</v>
      </c>
      <c r="B7" s="332" t="s">
        <v>368</v>
      </c>
      <c r="C7" s="81"/>
      <c r="D7" s="81">
        <f t="shared" ref="D7:W7" si="1">(0.0025*$C$4*(1+esc)^(D$1-$C$1))</f>
        <v>12.096823470981386</v>
      </c>
      <c r="E7" s="81">
        <f t="shared" si="1"/>
        <v>12.399244057755922</v>
      </c>
      <c r="F7" s="81">
        <f t="shared" si="1"/>
        <v>12.70922515919982</v>
      </c>
      <c r="G7" s="81">
        <f t="shared" si="1"/>
        <v>13.026955788179814</v>
      </c>
      <c r="H7" s="81">
        <f t="shared" si="1"/>
        <v>13.352629682884308</v>
      </c>
      <c r="I7" s="81">
        <f t="shared" si="1"/>
        <v>13.686445424956414</v>
      </c>
      <c r="J7" s="81">
        <f t="shared" si="1"/>
        <v>14.028606560580325</v>
      </c>
      <c r="K7" s="81">
        <f t="shared" si="1"/>
        <v>14.379321724594831</v>
      </c>
      <c r="L7" s="81">
        <f t="shared" si="1"/>
        <v>14.7388047677097</v>
      </c>
      <c r="M7" s="81">
        <f t="shared" si="1"/>
        <v>15.107274886902443</v>
      </c>
      <c r="N7" s="81">
        <f t="shared" si="1"/>
        <v>15.484956759075004</v>
      </c>
      <c r="O7" s="81">
        <f t="shared" si="1"/>
        <v>15.872080678051878</v>
      </c>
      <c r="P7" s="81">
        <f t="shared" si="1"/>
        <v>16.268882695003175</v>
      </c>
      <c r="Q7" s="81">
        <f t="shared" si="1"/>
        <v>16.675604762378249</v>
      </c>
      <c r="R7" s="81">
        <f t="shared" si="1"/>
        <v>17.092494881437709</v>
      </c>
      <c r="S7" s="81">
        <f t="shared" si="1"/>
        <v>17.519807253473651</v>
      </c>
      <c r="T7" s="81">
        <f t="shared" si="1"/>
        <v>17.957802434810489</v>
      </c>
      <c r="U7" s="81">
        <f t="shared" si="1"/>
        <v>18.406747495680754</v>
      </c>
      <c r="V7" s="81">
        <f t="shared" si="1"/>
        <v>18.866916183072771</v>
      </c>
      <c r="W7" s="81">
        <f t="shared" si="1"/>
        <v>19.338589087649588</v>
      </c>
      <c r="X7" s="130"/>
    </row>
    <row r="8" spans="1:30">
      <c r="A8" s="79" t="s">
        <v>19</v>
      </c>
      <c r="B8" s="332" t="s">
        <v>381</v>
      </c>
      <c r="C8" s="81"/>
      <c r="D8" s="81">
        <f t="shared" ref="D8:W8" si="2">(0.015*$C$4*(1+esc)^(D$1-$C$1))</f>
        <v>72.58094082588832</v>
      </c>
      <c r="E8" s="81">
        <f t="shared" si="2"/>
        <v>74.395464346535519</v>
      </c>
      <c r="F8" s="81">
        <f t="shared" si="2"/>
        <v>76.255350955198907</v>
      </c>
      <c r="G8" s="81">
        <f t="shared" si="2"/>
        <v>78.161734729078873</v>
      </c>
      <c r="H8" s="81">
        <f t="shared" si="2"/>
        <v>80.115778097305835</v>
      </c>
      <c r="I8" s="81">
        <f t="shared" si="2"/>
        <v>82.118672549738477</v>
      </c>
      <c r="J8" s="81">
        <f t="shared" si="2"/>
        <v>84.171639363481944</v>
      </c>
      <c r="K8" s="81">
        <f t="shared" si="2"/>
        <v>86.275930347568988</v>
      </c>
      <c r="L8" s="81">
        <f t="shared" si="2"/>
        <v>88.432828606258198</v>
      </c>
      <c r="M8" s="81">
        <f t="shared" si="2"/>
        <v>90.643649321414642</v>
      </c>
      <c r="N8" s="81">
        <f t="shared" si="2"/>
        <v>92.909740554450011</v>
      </c>
      <c r="O8" s="81">
        <f t="shared" si="2"/>
        <v>95.232484068311251</v>
      </c>
      <c r="P8" s="81">
        <f t="shared" si="2"/>
        <v>97.613296170019026</v>
      </c>
      <c r="Q8" s="81">
        <f t="shared" si="2"/>
        <v>100.0536285742695</v>
      </c>
      <c r="R8" s="81">
        <f t="shared" si="2"/>
        <v>102.55496928862625</v>
      </c>
      <c r="S8" s="81">
        <f t="shared" si="2"/>
        <v>105.11884352084189</v>
      </c>
      <c r="T8" s="81">
        <f t="shared" si="2"/>
        <v>107.74681460886293</v>
      </c>
      <c r="U8" s="81">
        <f t="shared" si="2"/>
        <v>110.44048497408451</v>
      </c>
      <c r="V8" s="81">
        <f t="shared" si="2"/>
        <v>113.20149709843662</v>
      </c>
      <c r="W8" s="81">
        <f t="shared" si="2"/>
        <v>116.03153452589753</v>
      </c>
      <c r="X8" s="130"/>
    </row>
    <row r="9" spans="1:30">
      <c r="A9" s="199" t="s">
        <v>21</v>
      </c>
      <c r="B9" s="200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2"/>
      <c r="X9" s="130"/>
    </row>
    <row r="10" spans="1:30">
      <c r="A10" s="195" t="s">
        <v>35</v>
      </c>
      <c r="B10" s="196" t="s">
        <v>96</v>
      </c>
      <c r="C10" s="197">
        <f t="shared" ref="C10:W10" si="3">SUM(C4:C9)</f>
        <v>4720.7115984317606</v>
      </c>
      <c r="D10" s="197">
        <f t="shared" si="3"/>
        <v>97.452731121077846</v>
      </c>
      <c r="E10" s="197">
        <f t="shared" si="3"/>
        <v>99.889049399104778</v>
      </c>
      <c r="F10" s="197">
        <f t="shared" si="3"/>
        <v>102.38627563408239</v>
      </c>
      <c r="G10" s="197">
        <f t="shared" si="3"/>
        <v>104.94593252493445</v>
      </c>
      <c r="H10" s="197">
        <f t="shared" si="3"/>
        <v>164.13999148258904</v>
      </c>
      <c r="I10" s="197">
        <f t="shared" si="3"/>
        <v>110.25882035900923</v>
      </c>
      <c r="J10" s="197">
        <f t="shared" si="3"/>
        <v>113.01529086798448</v>
      </c>
      <c r="K10" s="197">
        <f t="shared" si="3"/>
        <v>115.84067313968407</v>
      </c>
      <c r="L10" s="197">
        <f t="shared" si="3"/>
        <v>118.73668996817617</v>
      </c>
      <c r="M10" s="197">
        <f t="shared" si="3"/>
        <v>249.71356163701626</v>
      </c>
      <c r="N10" s="197">
        <f t="shared" si="3"/>
        <v>124.74773489781506</v>
      </c>
      <c r="O10" s="197">
        <f t="shared" si="3"/>
        <v>127.86642827026043</v>
      </c>
      <c r="P10" s="197">
        <f t="shared" si="3"/>
        <v>131.06308897701695</v>
      </c>
      <c r="Q10" s="197">
        <f t="shared" si="3"/>
        <v>134.33966620144236</v>
      </c>
      <c r="R10" s="197">
        <f t="shared" si="3"/>
        <v>210.11306618138394</v>
      </c>
      <c r="S10" s="197">
        <f t="shared" si="3"/>
        <v>141.14061180289036</v>
      </c>
      <c r="T10" s="197">
        <f t="shared" si="3"/>
        <v>144.66912709796262</v>
      </c>
      <c r="U10" s="197">
        <f t="shared" si="3"/>
        <v>148.28585527541168</v>
      </c>
      <c r="V10" s="197">
        <f t="shared" si="3"/>
        <v>151.99300165729699</v>
      </c>
      <c r="W10" s="198">
        <f t="shared" si="3"/>
        <v>319.65447072776891</v>
      </c>
      <c r="X10" s="130"/>
    </row>
    <row r="11" spans="1:30">
      <c r="A11" s="74"/>
      <c r="B11" s="7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2"/>
      <c r="X11" s="130"/>
    </row>
    <row r="12" spans="1:30">
      <c r="A12" s="77">
        <v>2</v>
      </c>
      <c r="B12" s="78" t="s">
        <v>111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2"/>
      <c r="X12" s="130"/>
    </row>
    <row r="13" spans="1:30">
      <c r="A13" s="79" t="s">
        <v>8</v>
      </c>
      <c r="B13" s="80" t="s">
        <v>125</v>
      </c>
      <c r="C13" s="81">
        <f>$Q$27</f>
        <v>1180.1778996079402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2"/>
      <c r="X13" s="130"/>
    </row>
    <row r="14" spans="1:30">
      <c r="A14" s="79" t="s">
        <v>11</v>
      </c>
      <c r="B14" s="80" t="s">
        <v>127</v>
      </c>
      <c r="C14" s="81">
        <f>T27</f>
        <v>708.10673976476403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  <c r="X14" s="130"/>
    </row>
    <row r="15" spans="1:30">
      <c r="A15" s="79" t="s">
        <v>13</v>
      </c>
      <c r="B15" s="80" t="s">
        <v>97</v>
      </c>
      <c r="C15" s="81"/>
      <c r="D15" s="81">
        <f t="shared" ref="D15:W15" si="4">0.001*mwh*ene*(1+esc)^(D$1-$C$1)</f>
        <v>106.4580568684011</v>
      </c>
      <c r="E15" s="81">
        <f t="shared" si="4"/>
        <v>109.11950829011113</v>
      </c>
      <c r="F15" s="81">
        <f t="shared" si="4"/>
        <v>111.84749599736391</v>
      </c>
      <c r="G15" s="81">
        <f t="shared" si="4"/>
        <v>114.64368339729799</v>
      </c>
      <c r="H15" s="81">
        <f t="shared" si="4"/>
        <v>117.50977548223044</v>
      </c>
      <c r="I15" s="81">
        <f t="shared" si="4"/>
        <v>120.44751986928618</v>
      </c>
      <c r="J15" s="81">
        <f t="shared" si="4"/>
        <v>123.45870786601834</v>
      </c>
      <c r="K15" s="81">
        <f t="shared" si="4"/>
        <v>126.54517556266879</v>
      </c>
      <c r="L15" s="81">
        <f t="shared" si="4"/>
        <v>129.70880495173549</v>
      </c>
      <c r="M15" s="81">
        <f t="shared" si="4"/>
        <v>132.95152507552888</v>
      </c>
      <c r="N15" s="81">
        <f t="shared" si="4"/>
        <v>136.2753132024171</v>
      </c>
      <c r="O15" s="81">
        <f t="shared" si="4"/>
        <v>139.68219603247752</v>
      </c>
      <c r="P15" s="81">
        <f t="shared" si="4"/>
        <v>143.17425093328944</v>
      </c>
      <c r="Q15" s="81">
        <f t="shared" si="4"/>
        <v>146.75360720662167</v>
      </c>
      <c r="R15" s="81">
        <f t="shared" si="4"/>
        <v>150.42244738678724</v>
      </c>
      <c r="S15" s="81">
        <f t="shared" si="4"/>
        <v>154.1830085714569</v>
      </c>
      <c r="T15" s="81">
        <f t="shared" si="4"/>
        <v>158.03758378574329</v>
      </c>
      <c r="U15" s="81">
        <f t="shared" si="4"/>
        <v>161.98852338038688</v>
      </c>
      <c r="V15" s="81">
        <f t="shared" si="4"/>
        <v>166.03823646489656</v>
      </c>
      <c r="W15" s="82">
        <f t="shared" si="4"/>
        <v>170.18919237651895</v>
      </c>
      <c r="X15" s="130"/>
    </row>
    <row r="16" spans="1:30">
      <c r="A16" s="79" t="s">
        <v>16</v>
      </c>
      <c r="B16" s="80" t="s">
        <v>98</v>
      </c>
      <c r="C16" s="81"/>
      <c r="D16" s="81">
        <f t="shared" ref="D16:W16" si="5">0.001*mwh*$K$29*(1+esc)^(D$1-$C$1)</f>
        <v>21.291611373680222</v>
      </c>
      <c r="E16" s="81">
        <f t="shared" si="5"/>
        <v>21.823901658022226</v>
      </c>
      <c r="F16" s="81">
        <f t="shared" si="5"/>
        <v>22.369499199472781</v>
      </c>
      <c r="G16" s="81">
        <f t="shared" si="5"/>
        <v>22.9287366794596</v>
      </c>
      <c r="H16" s="81">
        <f t="shared" si="5"/>
        <v>23.501955096446089</v>
      </c>
      <c r="I16" s="81">
        <f t="shared" si="5"/>
        <v>24.089503973857237</v>
      </c>
      <c r="J16" s="81">
        <f t="shared" si="5"/>
        <v>24.691741573203672</v>
      </c>
      <c r="K16" s="81">
        <f t="shared" si="5"/>
        <v>25.30903511253376</v>
      </c>
      <c r="L16" s="81">
        <f t="shared" si="5"/>
        <v>25.941760990347099</v>
      </c>
      <c r="M16" s="81">
        <f t="shared" si="5"/>
        <v>26.590305015105777</v>
      </c>
      <c r="N16" s="81">
        <f t="shared" si="5"/>
        <v>27.25506264048342</v>
      </c>
      <c r="O16" s="81">
        <f t="shared" si="5"/>
        <v>27.936439206495503</v>
      </c>
      <c r="P16" s="81">
        <f t="shared" si="5"/>
        <v>28.634850186657889</v>
      </c>
      <c r="Q16" s="81">
        <f t="shared" si="5"/>
        <v>29.350721441324335</v>
      </c>
      <c r="R16" s="81">
        <f t="shared" si="5"/>
        <v>30.084489477357447</v>
      </c>
      <c r="S16" s="81">
        <f t="shared" si="5"/>
        <v>30.83660171429138</v>
      </c>
      <c r="T16" s="81">
        <f t="shared" si="5"/>
        <v>31.607516757148662</v>
      </c>
      <c r="U16" s="81">
        <f t="shared" si="5"/>
        <v>32.397704676077382</v>
      </c>
      <c r="V16" s="81">
        <f t="shared" si="5"/>
        <v>33.207647292979317</v>
      </c>
      <c r="W16" s="81">
        <f t="shared" si="5"/>
        <v>34.037838475303793</v>
      </c>
      <c r="X16" s="105"/>
    </row>
    <row r="17" spans="1:24">
      <c r="A17" s="79" t="s">
        <v>19</v>
      </c>
      <c r="B17" s="80" t="s">
        <v>117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2"/>
      <c r="X17" s="130"/>
    </row>
    <row r="18" spans="1:24">
      <c r="A18" s="79" t="s">
        <v>21</v>
      </c>
      <c r="B18" s="80" t="s">
        <v>150</v>
      </c>
      <c r="C18" s="81"/>
      <c r="D18" s="81">
        <f t="shared" ref="D18:W18" si="6">0.001*cap*12*(dem)*(1+esc)^(D$1-$C$1)</f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1">
        <f t="shared" si="6"/>
        <v>0</v>
      </c>
      <c r="P18" s="81">
        <f t="shared" si="6"/>
        <v>0</v>
      </c>
      <c r="Q18" s="81">
        <f t="shared" si="6"/>
        <v>0</v>
      </c>
      <c r="R18" s="81">
        <f t="shared" si="6"/>
        <v>0</v>
      </c>
      <c r="S18" s="81">
        <f t="shared" si="6"/>
        <v>0</v>
      </c>
      <c r="T18" s="81">
        <f t="shared" si="6"/>
        <v>0</v>
      </c>
      <c r="U18" s="81">
        <f t="shared" si="6"/>
        <v>0</v>
      </c>
      <c r="V18" s="81">
        <f t="shared" si="6"/>
        <v>0</v>
      </c>
      <c r="W18" s="82">
        <f t="shared" si="6"/>
        <v>0</v>
      </c>
      <c r="X18" s="130"/>
    </row>
    <row r="19" spans="1:24">
      <c r="A19" s="199" t="s">
        <v>35</v>
      </c>
      <c r="B19" s="355" t="s">
        <v>426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202">
        <f>IF($V$23&lt;=0,0,(1+esc)*$V$23/(dis-esc))</f>
        <v>1937.368166123734</v>
      </c>
      <c r="X19" s="130"/>
    </row>
    <row r="20" spans="1:24">
      <c r="A20" s="195" t="s">
        <v>36</v>
      </c>
      <c r="B20" s="196" t="s">
        <v>99</v>
      </c>
      <c r="C20" s="197">
        <f>SUM(C13:C19)</f>
        <v>1888.2846393727041</v>
      </c>
      <c r="D20" s="197">
        <f t="shared" ref="D20:W20" si="7">SUM(D13:D19)</f>
        <v>127.74966824208133</v>
      </c>
      <c r="E20" s="197">
        <f t="shared" si="7"/>
        <v>130.94340994813336</v>
      </c>
      <c r="F20" s="197">
        <f t="shared" si="7"/>
        <v>134.21699519683668</v>
      </c>
      <c r="G20" s="197">
        <f t="shared" si="7"/>
        <v>137.5724200767576</v>
      </c>
      <c r="H20" s="197">
        <f t="shared" si="7"/>
        <v>141.01173057867652</v>
      </c>
      <c r="I20" s="197">
        <f t="shared" si="7"/>
        <v>144.53702384314343</v>
      </c>
      <c r="J20" s="197">
        <f t="shared" si="7"/>
        <v>148.15044943922203</v>
      </c>
      <c r="K20" s="197">
        <f t="shared" si="7"/>
        <v>151.85421067520255</v>
      </c>
      <c r="L20" s="197">
        <f t="shared" si="7"/>
        <v>155.65056594208258</v>
      </c>
      <c r="M20" s="197">
        <f t="shared" si="7"/>
        <v>159.54183009063465</v>
      </c>
      <c r="N20" s="197">
        <f t="shared" si="7"/>
        <v>163.53037584290053</v>
      </c>
      <c r="O20" s="197">
        <f t="shared" si="7"/>
        <v>167.61863523897301</v>
      </c>
      <c r="P20" s="197">
        <f t="shared" si="7"/>
        <v>171.80910111994734</v>
      </c>
      <c r="Q20" s="197">
        <f t="shared" si="7"/>
        <v>176.10432864794601</v>
      </c>
      <c r="R20" s="197">
        <f t="shared" si="7"/>
        <v>180.50693686414468</v>
      </c>
      <c r="S20" s="197">
        <f t="shared" si="7"/>
        <v>185.01961028574829</v>
      </c>
      <c r="T20" s="197">
        <f t="shared" si="7"/>
        <v>189.64510054289195</v>
      </c>
      <c r="U20" s="197">
        <f t="shared" si="7"/>
        <v>194.38622805646426</v>
      </c>
      <c r="V20" s="197">
        <f t="shared" si="7"/>
        <v>199.24588375787587</v>
      </c>
      <c r="W20" s="197">
        <f t="shared" si="7"/>
        <v>2141.595196975557</v>
      </c>
      <c r="X20" s="105"/>
    </row>
    <row r="21" spans="1:2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  <c r="X21" s="344">
        <f>0.5*C4*(1+esc)^20</f>
        <v>3867.7178175299173</v>
      </c>
    </row>
    <row r="22" spans="1:24">
      <c r="A22" s="77">
        <v>3</v>
      </c>
      <c r="B22" s="78" t="s">
        <v>112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6"/>
      <c r="X22" s="344">
        <f>(1+esc)*V23/(dis-esc)</f>
        <v>1937.368166123734</v>
      </c>
    </row>
    <row r="23" spans="1:24">
      <c r="A23" s="79" t="s">
        <v>8</v>
      </c>
      <c r="B23" s="80" t="s">
        <v>100</v>
      </c>
      <c r="C23" s="81">
        <f t="shared" ref="C23:W23" si="8">C20-C10</f>
        <v>-2832.4269590590566</v>
      </c>
      <c r="D23" s="81">
        <f t="shared" si="8"/>
        <v>30.296937121003481</v>
      </c>
      <c r="E23" s="81">
        <f t="shared" si="8"/>
        <v>31.054360549028587</v>
      </c>
      <c r="F23" s="81">
        <f t="shared" si="8"/>
        <v>31.830719562754282</v>
      </c>
      <c r="G23" s="81">
        <f t="shared" si="8"/>
        <v>32.626487551823146</v>
      </c>
      <c r="H23" s="81">
        <f t="shared" si="8"/>
        <v>-23.128260903912519</v>
      </c>
      <c r="I23" s="81">
        <f t="shared" si="8"/>
        <v>34.278203484134195</v>
      </c>
      <c r="J23" s="81">
        <f t="shared" si="8"/>
        <v>35.135158571237554</v>
      </c>
      <c r="K23" s="81">
        <f t="shared" si="8"/>
        <v>36.013537535518481</v>
      </c>
      <c r="L23" s="81">
        <f t="shared" si="8"/>
        <v>36.913875973906414</v>
      </c>
      <c r="M23" s="81">
        <f t="shared" si="8"/>
        <v>-90.171731546381608</v>
      </c>
      <c r="N23" s="81">
        <f t="shared" si="8"/>
        <v>38.782640945085461</v>
      </c>
      <c r="O23" s="81">
        <f t="shared" si="8"/>
        <v>39.752206968712585</v>
      </c>
      <c r="P23" s="81">
        <f t="shared" si="8"/>
        <v>40.746012142930397</v>
      </c>
      <c r="Q23" s="81">
        <f t="shared" si="8"/>
        <v>41.76466244650365</v>
      </c>
      <c r="R23" s="81">
        <f t="shared" si="8"/>
        <v>-29.606129317239265</v>
      </c>
      <c r="S23" s="81">
        <f t="shared" si="8"/>
        <v>43.878998482857924</v>
      </c>
      <c r="T23" s="81">
        <f t="shared" si="8"/>
        <v>44.975973444929338</v>
      </c>
      <c r="U23" s="81">
        <f t="shared" si="8"/>
        <v>46.100372781052585</v>
      </c>
      <c r="V23" s="81">
        <f t="shared" si="8"/>
        <v>47.252882100578887</v>
      </c>
      <c r="W23" s="82">
        <f t="shared" si="8"/>
        <v>1821.940726247788</v>
      </c>
      <c r="X23" s="130"/>
    </row>
    <row r="24" spans="1:24">
      <c r="A24" s="79" t="s">
        <v>11</v>
      </c>
      <c r="B24" s="80" t="s">
        <v>101</v>
      </c>
      <c r="C24" s="81">
        <f>C23</f>
        <v>-2832.4269590590566</v>
      </c>
      <c r="D24" s="81">
        <f t="shared" ref="D24:W24" si="9">D23/(1+dis)^(D$1-$C$1)</f>
        <v>28.854225829527124</v>
      </c>
      <c r="E24" s="81">
        <f t="shared" si="9"/>
        <v>28.167220452633639</v>
      </c>
      <c r="F24" s="81">
        <f t="shared" si="9"/>
        <v>27.496572346618532</v>
      </c>
      <c r="G24" s="81">
        <f t="shared" si="9"/>
        <v>26.841892052651435</v>
      </c>
      <c r="H24" s="81">
        <f t="shared" si="9"/>
        <v>-18.121597603124911</v>
      </c>
      <c r="I24" s="81">
        <f t="shared" si="9"/>
        <v>25.578923208904232</v>
      </c>
      <c r="J24" s="81">
        <f t="shared" si="9"/>
        <v>24.969901227739843</v>
      </c>
      <c r="K24" s="81">
        <f t="shared" si="9"/>
        <v>24.375379769936508</v>
      </c>
      <c r="L24" s="81">
        <f t="shared" si="9"/>
        <v>23.795013584938001</v>
      </c>
      <c r="M24" s="81">
        <f t="shared" si="9"/>
        <v>-55.357621091043058</v>
      </c>
      <c r="N24" s="81">
        <f t="shared" si="9"/>
        <v>22.675406936667127</v>
      </c>
      <c r="O24" s="81">
        <f t="shared" si="9"/>
        <v>22.135516295317906</v>
      </c>
      <c r="P24" s="81">
        <f t="shared" si="9"/>
        <v>21.608480193048425</v>
      </c>
      <c r="Q24" s="81">
        <f t="shared" si="9"/>
        <v>21.093992569404417</v>
      </c>
      <c r="R24" s="81">
        <f t="shared" si="9"/>
        <v>-14.241054409884427</v>
      </c>
      <c r="S24" s="81">
        <f t="shared" si="9"/>
        <v>20.101474778440384</v>
      </c>
      <c r="T24" s="81">
        <f t="shared" si="9"/>
        <v>19.622868236096547</v>
      </c>
      <c r="U24" s="81">
        <f t="shared" si="9"/>
        <v>19.155657087618064</v>
      </c>
      <c r="V24" s="81">
        <f t="shared" si="9"/>
        <v>18.699570014103344</v>
      </c>
      <c r="W24" s="82">
        <f t="shared" si="9"/>
        <v>686.67029814078796</v>
      </c>
      <c r="X24" s="130"/>
    </row>
    <row r="25" spans="1:24">
      <c r="A25" s="79" t="s">
        <v>13</v>
      </c>
      <c r="B25" s="80" t="s">
        <v>102</v>
      </c>
      <c r="C25" s="81">
        <f>C23</f>
        <v>-2832.4269590590566</v>
      </c>
      <c r="D25" s="81">
        <f>SUM($C24:D24)</f>
        <v>-2803.5727332295296</v>
      </c>
      <c r="E25" s="81">
        <f>SUM($C24:E24)</f>
        <v>-2775.4055127768961</v>
      </c>
      <c r="F25" s="81">
        <f>SUM($C24:F24)</f>
        <v>-2747.9089404302777</v>
      </c>
      <c r="G25" s="81">
        <f>SUM($C24:G24)</f>
        <v>-2721.0670483776262</v>
      </c>
      <c r="H25" s="81">
        <f>SUM($C24:H24)</f>
        <v>-2739.1886459807511</v>
      </c>
      <c r="I25" s="81">
        <f>SUM($C24:I24)</f>
        <v>-2713.6097227718469</v>
      </c>
      <c r="J25" s="81">
        <f>SUM($C24:J24)</f>
        <v>-2688.6398215441072</v>
      </c>
      <c r="K25" s="81">
        <f>SUM($C24:K24)</f>
        <v>-2664.2644417741708</v>
      </c>
      <c r="L25" s="81">
        <f>SUM($C24:L24)</f>
        <v>-2640.469428189233</v>
      </c>
      <c r="M25" s="81">
        <f>SUM($C24:M24)</f>
        <v>-2695.8270492802762</v>
      </c>
      <c r="N25" s="81">
        <f>SUM($C24:N24)</f>
        <v>-2673.1516423436092</v>
      </c>
      <c r="O25" s="81">
        <f>SUM($C24:O24)</f>
        <v>-2651.0161260482914</v>
      </c>
      <c r="P25" s="81">
        <f>SUM($C24:P24)</f>
        <v>-2629.4076458552431</v>
      </c>
      <c r="Q25" s="81">
        <f>SUM($C24:Q24)</f>
        <v>-2608.3136532858389</v>
      </c>
      <c r="R25" s="81">
        <f>SUM($C24:R24)</f>
        <v>-2622.5547076957232</v>
      </c>
      <c r="S25" s="81">
        <f>SUM($C24:S24)</f>
        <v>-2602.453232917283</v>
      </c>
      <c r="T25" s="81">
        <f>SUM($C24:T24)</f>
        <v>-2582.8303646811864</v>
      </c>
      <c r="U25" s="81">
        <f>SUM($C24:U24)</f>
        <v>-2563.6747075935682</v>
      </c>
      <c r="V25" s="81">
        <f>SUM($C24:V24)</f>
        <v>-2544.9751375794649</v>
      </c>
      <c r="W25" s="82">
        <f>SUM($C24:W24)</f>
        <v>-1858.3048394386769</v>
      </c>
      <c r="X25" s="130"/>
    </row>
    <row r="26" spans="1:24">
      <c r="A26" s="74"/>
      <c r="B26" s="75"/>
      <c r="C26" s="75"/>
      <c r="D26" s="83"/>
      <c r="E26" s="83"/>
      <c r="F26" s="75"/>
      <c r="G26" s="75"/>
      <c r="H26" s="75"/>
      <c r="I26" s="75"/>
      <c r="J26" s="75"/>
      <c r="K26" s="216"/>
      <c r="L26" s="75"/>
      <c r="M26" s="75"/>
      <c r="N26" s="216"/>
      <c r="O26" s="75"/>
      <c r="P26" s="75"/>
      <c r="Q26" s="216"/>
      <c r="R26" s="75"/>
      <c r="S26" s="75"/>
      <c r="T26" s="216"/>
      <c r="U26" s="75"/>
      <c r="V26" s="75"/>
      <c r="W26" s="76"/>
      <c r="X26" s="129"/>
    </row>
    <row r="27" spans="1:24">
      <c r="A27" s="74"/>
      <c r="B27" s="84" t="s">
        <v>103</v>
      </c>
      <c r="C27" s="75"/>
      <c r="D27" s="75" t="s">
        <v>104</v>
      </c>
      <c r="E27" s="122">
        <f>'Summary - Cash'!C9</f>
        <v>2.5000000000000001E-2</v>
      </c>
      <c r="F27" s="75"/>
      <c r="G27" s="75" t="s">
        <v>105</v>
      </c>
      <c r="H27" s="122">
        <f>'Summary - Cash'!F9</f>
        <v>0.05</v>
      </c>
      <c r="I27" s="75"/>
      <c r="J27" s="214" t="s">
        <v>106</v>
      </c>
      <c r="K27" s="218">
        <f>Energy!J6</f>
        <v>830.8921511680087</v>
      </c>
      <c r="L27" s="215"/>
      <c r="M27" s="220" t="s">
        <v>153</v>
      </c>
      <c r="N27" s="221">
        <f>Energy!I6</f>
        <v>287.65021400955015</v>
      </c>
      <c r="O27" s="215"/>
      <c r="P27" s="219" t="s">
        <v>125</v>
      </c>
      <c r="Q27" s="218">
        <f>'Summary - Cash'!F16*'Summary - Cash'!B16</f>
        <v>1180.1778996079402</v>
      </c>
      <c r="R27" s="215"/>
      <c r="S27" s="219" t="s">
        <v>126</v>
      </c>
      <c r="T27" s="222">
        <f>'Summary - Cash'!G16*'Summary - Cash'!B16</f>
        <v>708.10673976476403</v>
      </c>
      <c r="U27" s="215"/>
      <c r="V27" s="75"/>
      <c r="W27" s="76"/>
      <c r="X27" s="129"/>
    </row>
    <row r="28" spans="1:24">
      <c r="A28" s="74"/>
      <c r="B28" s="75"/>
      <c r="C28" s="75"/>
      <c r="D28" s="75"/>
      <c r="E28" s="216"/>
      <c r="F28" s="75"/>
      <c r="G28" s="75"/>
      <c r="H28" s="75"/>
      <c r="I28" s="75"/>
      <c r="J28" s="75"/>
      <c r="K28" s="217"/>
      <c r="L28" s="75"/>
      <c r="M28" s="75"/>
      <c r="N28" s="204"/>
      <c r="O28" s="75"/>
      <c r="P28" s="75"/>
      <c r="Q28" s="204"/>
      <c r="R28" s="75"/>
      <c r="S28" s="75"/>
      <c r="T28" s="204"/>
      <c r="U28" s="75"/>
      <c r="V28" s="75"/>
      <c r="W28" s="76"/>
      <c r="X28" s="129"/>
    </row>
    <row r="29" spans="1:24">
      <c r="A29" s="74"/>
      <c r="B29" s="75"/>
      <c r="C29" s="75"/>
      <c r="D29" s="223" t="s">
        <v>107</v>
      </c>
      <c r="E29" s="218">
        <f>'Summary - Cash'!H14</f>
        <v>125</v>
      </c>
      <c r="F29" s="215" t="s">
        <v>119</v>
      </c>
      <c r="G29" s="336" t="s">
        <v>382</v>
      </c>
      <c r="H29" s="93"/>
      <c r="I29" s="85" t="s">
        <v>152</v>
      </c>
      <c r="J29" s="219" t="s">
        <v>108</v>
      </c>
      <c r="K29" s="218">
        <f>'Summary - Cash'!C10</f>
        <v>25</v>
      </c>
      <c r="L29" s="215" t="s">
        <v>119</v>
      </c>
      <c r="M29" s="86" t="s">
        <v>120</v>
      </c>
      <c r="N29" s="231">
        <v>0</v>
      </c>
      <c r="O29" s="88" t="s">
        <v>109</v>
      </c>
      <c r="P29" s="89" t="s">
        <v>118</v>
      </c>
      <c r="Q29" s="87"/>
      <c r="R29" s="75" t="s">
        <v>119</v>
      </c>
      <c r="S29" s="75"/>
      <c r="T29" s="75"/>
      <c r="U29" s="75"/>
      <c r="V29" s="75"/>
      <c r="W29" s="76"/>
      <c r="X29" s="129"/>
    </row>
    <row r="30" spans="1:24">
      <c r="A30" s="74"/>
      <c r="B30" s="75"/>
      <c r="C30" s="75"/>
      <c r="D30" s="75"/>
      <c r="E30" s="204"/>
      <c r="F30" s="75"/>
      <c r="G30" s="75"/>
      <c r="H30" s="75"/>
      <c r="I30" s="75"/>
      <c r="J30" s="75"/>
      <c r="K30" s="204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  <c r="X30" s="129"/>
    </row>
    <row r="31" spans="1:24">
      <c r="A31" s="74"/>
      <c r="B31" s="90" t="s">
        <v>121</v>
      </c>
      <c r="C31" s="75"/>
      <c r="D31" s="75"/>
      <c r="E31" s="75" t="s">
        <v>122</v>
      </c>
      <c r="F31" s="75"/>
      <c r="G31" s="75"/>
      <c r="H31" s="91">
        <f>IRR($C23:$W23)</f>
        <v>-1.1556840833269513E-2</v>
      </c>
      <c r="I31" s="85"/>
      <c r="J31" s="85" t="s">
        <v>102</v>
      </c>
      <c r="K31" s="92">
        <f>$W25</f>
        <v>-1858.3048394386769</v>
      </c>
      <c r="L31" s="104"/>
      <c r="M31" s="85"/>
      <c r="N31" s="85"/>
      <c r="O31" s="85"/>
      <c r="P31" s="86" t="s">
        <v>123</v>
      </c>
      <c r="Q31" s="93">
        <f>MATCH(1,D25:W25)</f>
        <v>20</v>
      </c>
      <c r="R31" s="75"/>
      <c r="S31" s="75"/>
      <c r="T31" s="75"/>
      <c r="U31" s="75"/>
      <c r="V31" s="75"/>
      <c r="W31" s="76"/>
      <c r="X31" s="129"/>
    </row>
    <row r="32" spans="1:24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6"/>
    </row>
    <row r="33" spans="1:13">
      <c r="B33" s="2" t="s">
        <v>113</v>
      </c>
      <c r="D33" s="3"/>
      <c r="E33" s="3"/>
      <c r="F33" s="3"/>
      <c r="G33" s="3"/>
      <c r="H33" s="3"/>
    </row>
    <row r="34" spans="1:13">
      <c r="A34">
        <v>1</v>
      </c>
      <c r="B34" t="s">
        <v>369</v>
      </c>
      <c r="D34" s="4"/>
    </row>
    <row r="35" spans="1:13">
      <c r="A35">
        <v>2</v>
      </c>
      <c r="B35" t="s">
        <v>131</v>
      </c>
      <c r="L35" s="224"/>
      <c r="M35" s="138" t="s">
        <v>307</v>
      </c>
    </row>
    <row r="36" spans="1:13">
      <c r="A36">
        <v>3</v>
      </c>
      <c r="B36" s="138" t="s">
        <v>383</v>
      </c>
      <c r="L36" s="227"/>
      <c r="M36" s="138" t="s">
        <v>308</v>
      </c>
    </row>
    <row r="37" spans="1:13">
      <c r="A37">
        <v>4</v>
      </c>
      <c r="B37" s="138" t="s">
        <v>393</v>
      </c>
    </row>
    <row r="38" spans="1:13">
      <c r="A38">
        <v>5</v>
      </c>
      <c r="B38" s="138" t="s">
        <v>425</v>
      </c>
    </row>
    <row r="41" spans="1:13">
      <c r="B41" s="6"/>
    </row>
  </sheetData>
  <sheetProtection selectLockedCells="1"/>
  <phoneticPr fontId="5" type="noConversion"/>
  <printOptions horizontalCentered="1"/>
  <pageMargins left="1" right="1" top="2.25" bottom="1" header="0.5" footer="0.5"/>
  <pageSetup paperSize="3" scale="80" orientation="landscape" r:id="rId1"/>
  <headerFooter alignWithMargins="0">
    <oddHeader>&amp;L&amp;"Arial,Bold Italic"&amp;11Privileged and Confidential&amp;C&amp;"Arial,Bold Italic"&amp;11Ten Mile River Feasibility Study
Phase 1
&amp;R&amp;"Arial,Bold Italic"&amp;11&amp;A</oddHeader>
    <oddFooter>&amp;L&amp;G&amp;C&amp;"Arial,Bold Italic"For Planning Purposes Only&amp;R&amp;"Arial,Bold Italic"&amp;F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/>
  </sheetPr>
  <dimension ref="A1:AD41"/>
  <sheetViews>
    <sheetView view="pageBreakPreview" zoomScale="70" zoomScaleNormal="100" zoomScaleSheetLayoutView="70" workbookViewId="0">
      <selection activeCell="H11" sqref="H11"/>
    </sheetView>
  </sheetViews>
  <sheetFormatPr defaultRowHeight="12.75"/>
  <cols>
    <col min="1" max="1" width="4.5703125" customWidth="1"/>
    <col min="2" max="2" width="30.85546875" customWidth="1"/>
    <col min="3" max="3" width="9.28515625" bestFit="1" customWidth="1"/>
    <col min="4" max="4" width="9.42578125" bestFit="1" customWidth="1"/>
    <col min="5" max="7" width="9.28515625" bestFit="1" customWidth="1"/>
    <col min="8" max="8" width="9.85546875" bestFit="1" customWidth="1"/>
    <col min="9" max="9" width="9.28515625" bestFit="1" customWidth="1"/>
    <col min="10" max="10" width="12.28515625" customWidth="1"/>
    <col min="11" max="11" width="12.42578125" customWidth="1"/>
    <col min="12" max="12" width="10.42578125" bestFit="1" customWidth="1"/>
    <col min="13" max="23" width="9.28515625" bestFit="1" customWidth="1"/>
    <col min="24" max="24" width="25.28515625" style="112" customWidth="1"/>
  </cols>
  <sheetData>
    <row r="1" spans="1:30" ht="26.25" thickBot="1">
      <c r="A1" s="228" t="s">
        <v>0</v>
      </c>
      <c r="B1" s="229" t="s">
        <v>92</v>
      </c>
      <c r="C1" s="229">
        <v>0</v>
      </c>
      <c r="D1" s="229">
        <v>1</v>
      </c>
      <c r="E1" s="229">
        <v>2</v>
      </c>
      <c r="F1" s="229">
        <v>3</v>
      </c>
      <c r="G1" s="229">
        <v>4</v>
      </c>
      <c r="H1" s="229">
        <v>5</v>
      </c>
      <c r="I1" s="229">
        <v>6</v>
      </c>
      <c r="J1" s="229">
        <v>7</v>
      </c>
      <c r="K1" s="229">
        <v>8</v>
      </c>
      <c r="L1" s="229">
        <v>9</v>
      </c>
      <c r="M1" s="229">
        <v>10</v>
      </c>
      <c r="N1" s="229">
        <v>11</v>
      </c>
      <c r="O1" s="229">
        <v>12</v>
      </c>
      <c r="P1" s="229">
        <v>13</v>
      </c>
      <c r="Q1" s="229">
        <v>14</v>
      </c>
      <c r="R1" s="229">
        <v>15</v>
      </c>
      <c r="S1" s="229">
        <v>16</v>
      </c>
      <c r="T1" s="229">
        <v>17</v>
      </c>
      <c r="U1" s="229">
        <v>18</v>
      </c>
      <c r="V1" s="229">
        <v>19</v>
      </c>
      <c r="W1" s="230">
        <v>20</v>
      </c>
      <c r="X1" s="120" t="s">
        <v>199</v>
      </c>
      <c r="AA1" s="1"/>
      <c r="AB1" s="1"/>
      <c r="AC1" s="1"/>
      <c r="AD1" s="1"/>
    </row>
    <row r="2" spans="1:30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6"/>
      <c r="X2" s="129"/>
    </row>
    <row r="3" spans="1:30">
      <c r="A3" s="77">
        <v>1</v>
      </c>
      <c r="B3" s="78" t="s">
        <v>110</v>
      </c>
      <c r="C3" s="216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129"/>
    </row>
    <row r="4" spans="1:30">
      <c r="A4" s="79" t="s">
        <v>8</v>
      </c>
      <c r="B4" s="225" t="s">
        <v>93</v>
      </c>
      <c r="C4" s="227">
        <f>'Costs C (no min flow)'!F137</f>
        <v>5837.7521279668372</v>
      </c>
      <c r="D4" s="226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130"/>
    </row>
    <row r="5" spans="1:30">
      <c r="A5" s="79" t="s">
        <v>11</v>
      </c>
      <c r="B5" s="80" t="s">
        <v>94</v>
      </c>
      <c r="C5" s="197"/>
      <c r="D5" s="81">
        <f t="shared" ref="D5:W5" si="0">mwh*(0.015)*(1+esc)^(D$1-$C$1)</f>
        <v>29.042517126275349</v>
      </c>
      <c r="E5" s="81">
        <f t="shared" si="0"/>
        <v>29.768580054432235</v>
      </c>
      <c r="F5" s="81">
        <f t="shared" si="0"/>
        <v>30.51279455579304</v>
      </c>
      <c r="G5" s="81">
        <f t="shared" si="0"/>
        <v>31.275614419687862</v>
      </c>
      <c r="H5" s="81">
        <f t="shared" si="0"/>
        <v>32.057504780180054</v>
      </c>
      <c r="I5" s="81">
        <f t="shared" si="0"/>
        <v>32.858942399684558</v>
      </c>
      <c r="J5" s="81">
        <f t="shared" si="0"/>
        <v>33.680415959676672</v>
      </c>
      <c r="K5" s="81">
        <f t="shared" si="0"/>
        <v>34.522426358668582</v>
      </c>
      <c r="L5" s="81">
        <f t="shared" si="0"/>
        <v>35.385487017635292</v>
      </c>
      <c r="M5" s="81">
        <f t="shared" si="0"/>
        <v>36.270124193076178</v>
      </c>
      <c r="N5" s="81">
        <f t="shared" si="0"/>
        <v>37.176877297903076</v>
      </c>
      <c r="O5" s="81">
        <f t="shared" si="0"/>
        <v>38.10629923035065</v>
      </c>
      <c r="P5" s="81">
        <f t="shared" si="0"/>
        <v>39.058956711109417</v>
      </c>
      <c r="Q5" s="81">
        <f t="shared" si="0"/>
        <v>40.035430628887148</v>
      </c>
      <c r="R5" s="81">
        <f t="shared" si="0"/>
        <v>41.036316394609337</v>
      </c>
      <c r="S5" s="81">
        <f t="shared" si="0"/>
        <v>42.062224304474562</v>
      </c>
      <c r="T5" s="81">
        <f t="shared" si="0"/>
        <v>43.113779912086422</v>
      </c>
      <c r="U5" s="81">
        <f t="shared" si="0"/>
        <v>44.191624409888583</v>
      </c>
      <c r="V5" s="81">
        <f t="shared" si="0"/>
        <v>45.296415020135797</v>
      </c>
      <c r="W5" s="81">
        <f t="shared" si="0"/>
        <v>46.428825395639187</v>
      </c>
      <c r="X5" s="130"/>
    </row>
    <row r="6" spans="1:30">
      <c r="A6" s="79" t="s">
        <v>13</v>
      </c>
      <c r="B6" s="80" t="s">
        <v>95</v>
      </c>
      <c r="C6" s="81"/>
      <c r="D6" s="81"/>
      <c r="E6" s="81"/>
      <c r="F6" s="81"/>
      <c r="G6" s="81"/>
      <c r="H6" s="81">
        <f>50*(1+esc)^(H1-$C1)</f>
        <v>56.570410644531236</v>
      </c>
      <c r="I6" s="81"/>
      <c r="J6" s="81"/>
      <c r="K6" s="81"/>
      <c r="L6" s="81"/>
      <c r="M6" s="81">
        <f>100*(1+esc)^(M1-$C1)</f>
        <v>128.00845441963571</v>
      </c>
      <c r="N6" s="81"/>
      <c r="O6" s="81"/>
      <c r="P6" s="81"/>
      <c r="Q6" s="81"/>
      <c r="R6" s="81">
        <f>50*(1+esc)^(R1-$C1)</f>
        <v>72.414908324905525</v>
      </c>
      <c r="S6" s="81"/>
      <c r="T6" s="81"/>
      <c r="U6" s="81"/>
      <c r="V6" s="81"/>
      <c r="W6" s="82">
        <f>100*(1+esc)^(W1-$C1)</f>
        <v>163.86164402903955</v>
      </c>
      <c r="X6" s="130"/>
    </row>
    <row r="7" spans="1:30">
      <c r="A7" s="79" t="s">
        <v>16</v>
      </c>
      <c r="B7" s="332" t="s">
        <v>368</v>
      </c>
      <c r="C7" s="81"/>
      <c r="D7" s="81">
        <f t="shared" ref="D7:W7" si="1">(0.0025*$C$4*(1+esc)^(D$1-$C$1))</f>
        <v>14.959239827915018</v>
      </c>
      <c r="E7" s="81">
        <f t="shared" si="1"/>
        <v>15.333220823612894</v>
      </c>
      <c r="F7" s="81">
        <f t="shared" si="1"/>
        <v>15.716551344203216</v>
      </c>
      <c r="G7" s="81">
        <f t="shared" si="1"/>
        <v>16.109465127808296</v>
      </c>
      <c r="H7" s="81">
        <f t="shared" si="1"/>
        <v>16.512201756003503</v>
      </c>
      <c r="I7" s="81">
        <f t="shared" si="1"/>
        <v>16.925006799903588</v>
      </c>
      <c r="J7" s="81">
        <f t="shared" si="1"/>
        <v>17.348131969901178</v>
      </c>
      <c r="K7" s="81">
        <f t="shared" si="1"/>
        <v>17.781835269148704</v>
      </c>
      <c r="L7" s="81">
        <f t="shared" si="1"/>
        <v>18.226381150877419</v>
      </c>
      <c r="M7" s="81">
        <f t="shared" si="1"/>
        <v>18.682040679649354</v>
      </c>
      <c r="N7" s="81">
        <f t="shared" si="1"/>
        <v>19.149091696640589</v>
      </c>
      <c r="O7" s="81">
        <f t="shared" si="1"/>
        <v>19.627818989056603</v>
      </c>
      <c r="P7" s="81">
        <f t="shared" si="1"/>
        <v>20.118514463783018</v>
      </c>
      <c r="Q7" s="81">
        <f t="shared" si="1"/>
        <v>20.62147732537759</v>
      </c>
      <c r="R7" s="81">
        <f t="shared" si="1"/>
        <v>21.137014258512032</v>
      </c>
      <c r="S7" s="81">
        <f t="shared" si="1"/>
        <v>21.665439614974833</v>
      </c>
      <c r="T7" s="81">
        <f t="shared" si="1"/>
        <v>22.2070756053492</v>
      </c>
      <c r="U7" s="81">
        <f t="shared" si="1"/>
        <v>22.76225249548293</v>
      </c>
      <c r="V7" s="81">
        <f t="shared" si="1"/>
        <v>23.331308807870005</v>
      </c>
      <c r="W7" s="81">
        <f t="shared" si="1"/>
        <v>23.914591528066751</v>
      </c>
      <c r="X7" s="130"/>
    </row>
    <row r="8" spans="1:30">
      <c r="A8" s="79" t="s">
        <v>19</v>
      </c>
      <c r="B8" s="332" t="s">
        <v>381</v>
      </c>
      <c r="C8" s="81"/>
      <c r="D8" s="81">
        <f t="shared" ref="D8:W8" si="2">(0.015*$C$4*(1+esc)^(D$1-$C$1))</f>
        <v>89.755438967490107</v>
      </c>
      <c r="E8" s="81">
        <f t="shared" si="2"/>
        <v>91.999324941677372</v>
      </c>
      <c r="F8" s="81">
        <f t="shared" si="2"/>
        <v>94.299308065219293</v>
      </c>
      <c r="G8" s="81">
        <f t="shared" si="2"/>
        <v>96.656790766849767</v>
      </c>
      <c r="H8" s="81">
        <f t="shared" si="2"/>
        <v>99.073210536021008</v>
      </c>
      <c r="I8" s="81">
        <f t="shared" si="2"/>
        <v>101.55004079942152</v>
      </c>
      <c r="J8" s="81">
        <f t="shared" si="2"/>
        <v>104.08879181940706</v>
      </c>
      <c r="K8" s="81">
        <f t="shared" si="2"/>
        <v>106.69101161489223</v>
      </c>
      <c r="L8" s="81">
        <f t="shared" si="2"/>
        <v>109.35828690526452</v>
      </c>
      <c r="M8" s="81">
        <f t="shared" si="2"/>
        <v>112.09224407789614</v>
      </c>
      <c r="N8" s="81">
        <f t="shared" si="2"/>
        <v>114.89455017984353</v>
      </c>
      <c r="O8" s="81">
        <f t="shared" si="2"/>
        <v>117.76691393433961</v>
      </c>
      <c r="P8" s="81">
        <f t="shared" si="2"/>
        <v>120.7110867826981</v>
      </c>
      <c r="Q8" s="81">
        <f t="shared" si="2"/>
        <v>123.72886395226554</v>
      </c>
      <c r="R8" s="81">
        <f t="shared" si="2"/>
        <v>126.82208555107219</v>
      </c>
      <c r="S8" s="81">
        <f t="shared" si="2"/>
        <v>129.992637689849</v>
      </c>
      <c r="T8" s="81">
        <f t="shared" si="2"/>
        <v>133.24245363209519</v>
      </c>
      <c r="U8" s="81">
        <f t="shared" si="2"/>
        <v>136.57351497289758</v>
      </c>
      <c r="V8" s="81">
        <f t="shared" si="2"/>
        <v>139.98785284722001</v>
      </c>
      <c r="W8" s="81">
        <f t="shared" si="2"/>
        <v>143.48754916840051</v>
      </c>
      <c r="X8" s="130"/>
    </row>
    <row r="9" spans="1:30">
      <c r="A9" s="199" t="s">
        <v>21</v>
      </c>
      <c r="B9" s="200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2"/>
      <c r="X9" s="130"/>
    </row>
    <row r="10" spans="1:30">
      <c r="A10" s="195" t="s">
        <v>35</v>
      </c>
      <c r="B10" s="196" t="s">
        <v>96</v>
      </c>
      <c r="C10" s="197">
        <f t="shared" ref="C10:W10" si="3">SUM(C4:C9)</f>
        <v>5837.7521279668372</v>
      </c>
      <c r="D10" s="197">
        <f t="shared" si="3"/>
        <v>133.75719592168048</v>
      </c>
      <c r="E10" s="197">
        <f t="shared" si="3"/>
        <v>137.10112581972248</v>
      </c>
      <c r="F10" s="197">
        <f t="shared" si="3"/>
        <v>140.52865396521554</v>
      </c>
      <c r="G10" s="197">
        <f t="shared" si="3"/>
        <v>144.04187031434594</v>
      </c>
      <c r="H10" s="197">
        <f t="shared" si="3"/>
        <v>204.21332771673582</v>
      </c>
      <c r="I10" s="197">
        <f t="shared" si="3"/>
        <v>151.33398999900967</v>
      </c>
      <c r="J10" s="197">
        <f t="shared" si="3"/>
        <v>155.11733974898493</v>
      </c>
      <c r="K10" s="197">
        <f t="shared" si="3"/>
        <v>158.99527324270952</v>
      </c>
      <c r="L10" s="197">
        <f t="shared" si="3"/>
        <v>162.97015507377722</v>
      </c>
      <c r="M10" s="197">
        <f t="shared" si="3"/>
        <v>295.0528633702574</v>
      </c>
      <c r="N10" s="197">
        <f t="shared" si="3"/>
        <v>171.22051917438719</v>
      </c>
      <c r="O10" s="197">
        <f t="shared" si="3"/>
        <v>175.50103215374685</v>
      </c>
      <c r="P10" s="197">
        <f t="shared" si="3"/>
        <v>179.88855795759054</v>
      </c>
      <c r="Q10" s="197">
        <f t="shared" si="3"/>
        <v>184.38577190653029</v>
      </c>
      <c r="R10" s="197">
        <f t="shared" si="3"/>
        <v>261.41032452909911</v>
      </c>
      <c r="S10" s="197">
        <f t="shared" si="3"/>
        <v>193.72030160929842</v>
      </c>
      <c r="T10" s="197">
        <f t="shared" si="3"/>
        <v>198.56330914953082</v>
      </c>
      <c r="U10" s="197">
        <f t="shared" si="3"/>
        <v>203.5273918782691</v>
      </c>
      <c r="V10" s="197">
        <f t="shared" si="3"/>
        <v>208.61557667522581</v>
      </c>
      <c r="W10" s="198">
        <f t="shared" si="3"/>
        <v>377.692610121146</v>
      </c>
      <c r="X10" s="130"/>
    </row>
    <row r="11" spans="1:30">
      <c r="A11" s="74"/>
      <c r="B11" s="7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2"/>
      <c r="X11" s="130"/>
    </row>
    <row r="12" spans="1:30">
      <c r="A12" s="77">
        <v>2</v>
      </c>
      <c r="B12" s="78" t="s">
        <v>111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2"/>
      <c r="X12" s="130"/>
    </row>
    <row r="13" spans="1:30">
      <c r="A13" s="79" t="s">
        <v>8</v>
      </c>
      <c r="B13" s="80" t="s">
        <v>125</v>
      </c>
      <c r="C13" s="81">
        <f>$Q$27</f>
        <v>1459.4380319917093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2"/>
      <c r="X13" s="130"/>
    </row>
    <row r="14" spans="1:30">
      <c r="A14" s="79" t="s">
        <v>11</v>
      </c>
      <c r="B14" s="80" t="s">
        <v>127</v>
      </c>
      <c r="C14" s="81">
        <f>T27</f>
        <v>875.66281919502558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  <c r="X14" s="130"/>
    </row>
    <row r="15" spans="1:30">
      <c r="A15" s="79" t="s">
        <v>13</v>
      </c>
      <c r="B15" s="80" t="s">
        <v>97</v>
      </c>
      <c r="C15" s="81"/>
      <c r="D15" s="81">
        <f t="shared" ref="D15:W15" si="4">0.001*mwh*ene*(1+esc)^(D$1-$C$1)</f>
        <v>242.0209760522946</v>
      </c>
      <c r="E15" s="81">
        <f t="shared" si="4"/>
        <v>248.07150045360197</v>
      </c>
      <c r="F15" s="81">
        <f t="shared" si="4"/>
        <v>254.273287964942</v>
      </c>
      <c r="G15" s="81">
        <f t="shared" si="4"/>
        <v>260.63012016406554</v>
      </c>
      <c r="H15" s="81">
        <f t="shared" si="4"/>
        <v>267.14587316816716</v>
      </c>
      <c r="I15" s="81">
        <f t="shared" si="4"/>
        <v>273.82451999737128</v>
      </c>
      <c r="J15" s="81">
        <f t="shared" si="4"/>
        <v>280.67013299730559</v>
      </c>
      <c r="K15" s="81">
        <f t="shared" si="4"/>
        <v>287.68688632223819</v>
      </c>
      <c r="L15" s="81">
        <f t="shared" si="4"/>
        <v>294.87905848029413</v>
      </c>
      <c r="M15" s="81">
        <f t="shared" si="4"/>
        <v>302.25103494230149</v>
      </c>
      <c r="N15" s="81">
        <f t="shared" si="4"/>
        <v>309.80731081585901</v>
      </c>
      <c r="O15" s="81">
        <f t="shared" si="4"/>
        <v>317.55249358625542</v>
      </c>
      <c r="P15" s="81">
        <f t="shared" si="4"/>
        <v>325.49130592591183</v>
      </c>
      <c r="Q15" s="81">
        <f t="shared" si="4"/>
        <v>333.62858857405956</v>
      </c>
      <c r="R15" s="81">
        <f t="shared" si="4"/>
        <v>341.96930328841114</v>
      </c>
      <c r="S15" s="81">
        <f t="shared" si="4"/>
        <v>350.51853587062135</v>
      </c>
      <c r="T15" s="81">
        <f t="shared" si="4"/>
        <v>359.28149926738683</v>
      </c>
      <c r="U15" s="81">
        <f t="shared" si="4"/>
        <v>368.26353674907153</v>
      </c>
      <c r="V15" s="81">
        <f t="shared" si="4"/>
        <v>377.47012516779836</v>
      </c>
      <c r="W15" s="82">
        <f t="shared" si="4"/>
        <v>386.90687829699323</v>
      </c>
      <c r="X15" s="130"/>
    </row>
    <row r="16" spans="1:30">
      <c r="A16" s="79" t="s">
        <v>16</v>
      </c>
      <c r="B16" s="80" t="s">
        <v>98</v>
      </c>
      <c r="C16" s="81"/>
      <c r="D16" s="81">
        <f t="shared" ref="D16:W16" si="5">0.001*mwh*$K$29*(1+esc)^(D$1-$C$1)</f>
        <v>48.404195210458916</v>
      </c>
      <c r="E16" s="81">
        <f t="shared" si="5"/>
        <v>49.614300090720391</v>
      </c>
      <c r="F16" s="81">
        <f t="shared" si="5"/>
        <v>50.854657592988396</v>
      </c>
      <c r="G16" s="81">
        <f t="shared" si="5"/>
        <v>52.126024032813106</v>
      </c>
      <c r="H16" s="81">
        <f t="shared" si="5"/>
        <v>53.42917463363343</v>
      </c>
      <c r="I16" s="81">
        <f t="shared" si="5"/>
        <v>54.764903999474257</v>
      </c>
      <c r="J16" s="81">
        <f t="shared" si="5"/>
        <v>56.134026599461116</v>
      </c>
      <c r="K16" s="81">
        <f t="shared" si="5"/>
        <v>57.537377264447642</v>
      </c>
      <c r="L16" s="81">
        <f t="shared" si="5"/>
        <v>58.97581169605882</v>
      </c>
      <c r="M16" s="81">
        <f t="shared" si="5"/>
        <v>60.450206988460295</v>
      </c>
      <c r="N16" s="81">
        <f t="shared" si="5"/>
        <v>61.961462163171795</v>
      </c>
      <c r="O16" s="81">
        <f t="shared" si="5"/>
        <v>63.510498717251089</v>
      </c>
      <c r="P16" s="81">
        <f t="shared" si="5"/>
        <v>65.098261185182366</v>
      </c>
      <c r="Q16" s="81">
        <f t="shared" si="5"/>
        <v>66.725717714811921</v>
      </c>
      <c r="R16" s="81">
        <f t="shared" si="5"/>
        <v>68.393860657682225</v>
      </c>
      <c r="S16" s="81">
        <f t="shared" si="5"/>
        <v>70.103707174124267</v>
      </c>
      <c r="T16" s="81">
        <f t="shared" si="5"/>
        <v>71.856299853477367</v>
      </c>
      <c r="U16" s="81">
        <f t="shared" si="5"/>
        <v>73.652707349814307</v>
      </c>
      <c r="V16" s="81">
        <f t="shared" si="5"/>
        <v>75.494025033559666</v>
      </c>
      <c r="W16" s="81">
        <f t="shared" si="5"/>
        <v>77.381375659398643</v>
      </c>
      <c r="X16" s="105"/>
    </row>
    <row r="17" spans="1:24">
      <c r="A17" s="79" t="s">
        <v>19</v>
      </c>
      <c r="B17" s="80" t="s">
        <v>117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2"/>
      <c r="X17" s="130"/>
    </row>
    <row r="18" spans="1:24">
      <c r="A18" s="79" t="s">
        <v>21</v>
      </c>
      <c r="B18" s="80" t="s">
        <v>150</v>
      </c>
      <c r="C18" s="81"/>
      <c r="D18" s="81">
        <f t="shared" ref="D18:W18" si="6">0.001*cap*12*(dem)*(1+esc)^(D$1-$C$1)</f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1">
        <f t="shared" si="6"/>
        <v>0</v>
      </c>
      <c r="P18" s="81">
        <f t="shared" si="6"/>
        <v>0</v>
      </c>
      <c r="Q18" s="81">
        <f t="shared" si="6"/>
        <v>0</v>
      </c>
      <c r="R18" s="81">
        <f t="shared" si="6"/>
        <v>0</v>
      </c>
      <c r="S18" s="81">
        <f t="shared" si="6"/>
        <v>0</v>
      </c>
      <c r="T18" s="81">
        <f t="shared" si="6"/>
        <v>0</v>
      </c>
      <c r="U18" s="81">
        <f t="shared" si="6"/>
        <v>0</v>
      </c>
      <c r="V18" s="81">
        <f t="shared" si="6"/>
        <v>0</v>
      </c>
      <c r="W18" s="82">
        <f t="shared" si="6"/>
        <v>0</v>
      </c>
      <c r="X18" s="130"/>
    </row>
    <row r="19" spans="1:24">
      <c r="A19" s="199" t="s">
        <v>35</v>
      </c>
      <c r="B19" s="355" t="s">
        <v>426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202">
        <f>IF($V$23&lt;=0,0,(1+esc)*$V$23/(dis-esc))</f>
        <v>10018.29151457142</v>
      </c>
      <c r="X19" s="130"/>
    </row>
    <row r="20" spans="1:24">
      <c r="A20" s="195" t="s">
        <v>36</v>
      </c>
      <c r="B20" s="196" t="s">
        <v>99</v>
      </c>
      <c r="C20" s="197">
        <f>SUM(C13:C19)</f>
        <v>2335.1008511867349</v>
      </c>
      <c r="D20" s="197">
        <f t="shared" ref="D20:W20" si="7">SUM(D13:D19)</f>
        <v>290.42517126275351</v>
      </c>
      <c r="E20" s="197">
        <f t="shared" si="7"/>
        <v>297.68580054432238</v>
      </c>
      <c r="F20" s="197">
        <f t="shared" si="7"/>
        <v>305.12794555793039</v>
      </c>
      <c r="G20" s="197">
        <f t="shared" si="7"/>
        <v>312.75614419687867</v>
      </c>
      <c r="H20" s="197">
        <f t="shared" si="7"/>
        <v>320.57504780180057</v>
      </c>
      <c r="I20" s="197">
        <f t="shared" si="7"/>
        <v>328.58942399684554</v>
      </c>
      <c r="J20" s="197">
        <f t="shared" si="7"/>
        <v>336.80415959676668</v>
      </c>
      <c r="K20" s="197">
        <f t="shared" si="7"/>
        <v>345.22426358668582</v>
      </c>
      <c r="L20" s="197">
        <f t="shared" si="7"/>
        <v>353.85487017635296</v>
      </c>
      <c r="M20" s="197">
        <f t="shared" si="7"/>
        <v>362.7012419307618</v>
      </c>
      <c r="N20" s="197">
        <f t="shared" si="7"/>
        <v>371.76877297903081</v>
      </c>
      <c r="O20" s="197">
        <f t="shared" si="7"/>
        <v>381.06299230350652</v>
      </c>
      <c r="P20" s="197">
        <f t="shared" si="7"/>
        <v>390.5895671110942</v>
      </c>
      <c r="Q20" s="197">
        <f t="shared" si="7"/>
        <v>400.3543062888715</v>
      </c>
      <c r="R20" s="197">
        <f t="shared" si="7"/>
        <v>410.36316394609338</v>
      </c>
      <c r="S20" s="197">
        <f t="shared" si="7"/>
        <v>420.62224304474563</v>
      </c>
      <c r="T20" s="197">
        <f t="shared" si="7"/>
        <v>431.1377991208642</v>
      </c>
      <c r="U20" s="197">
        <f t="shared" si="7"/>
        <v>441.91624409888584</v>
      </c>
      <c r="V20" s="197">
        <f t="shared" si="7"/>
        <v>452.96415020135805</v>
      </c>
      <c r="W20" s="197">
        <f t="shared" si="7"/>
        <v>10482.579768527812</v>
      </c>
      <c r="X20" s="105"/>
    </row>
    <row r="21" spans="1:2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  <c r="X21" s="344">
        <f>0.5*C4*(1+esc)^20</f>
        <v>4782.9183056133506</v>
      </c>
    </row>
    <row r="22" spans="1:24">
      <c r="A22" s="77">
        <v>3</v>
      </c>
      <c r="B22" s="78" t="s">
        <v>112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6"/>
      <c r="X22" s="344">
        <f>(1+esc)*V23/(dis-esc)</f>
        <v>10018.29151457142</v>
      </c>
    </row>
    <row r="23" spans="1:24">
      <c r="A23" s="79" t="s">
        <v>8</v>
      </c>
      <c r="B23" s="80" t="s">
        <v>100</v>
      </c>
      <c r="C23" s="81">
        <f t="shared" ref="C23:W23" si="8">C20-C10</f>
        <v>-3502.6512767801023</v>
      </c>
      <c r="D23" s="81">
        <f t="shared" si="8"/>
        <v>156.66797534107303</v>
      </c>
      <c r="E23" s="81">
        <f t="shared" si="8"/>
        <v>160.58467472459989</v>
      </c>
      <c r="F23" s="81">
        <f t="shared" si="8"/>
        <v>164.59929159271485</v>
      </c>
      <c r="G23" s="81">
        <f t="shared" si="8"/>
        <v>168.71427388253272</v>
      </c>
      <c r="H23" s="81">
        <f t="shared" si="8"/>
        <v>116.36172008506475</v>
      </c>
      <c r="I23" s="81">
        <f t="shared" si="8"/>
        <v>177.25543399783587</v>
      </c>
      <c r="J23" s="81">
        <f t="shared" si="8"/>
        <v>181.68681984778175</v>
      </c>
      <c r="K23" s="81">
        <f t="shared" si="8"/>
        <v>186.22899034397631</v>
      </c>
      <c r="L23" s="81">
        <f t="shared" si="8"/>
        <v>190.88471510257574</v>
      </c>
      <c r="M23" s="81">
        <f t="shared" si="8"/>
        <v>67.648378560504398</v>
      </c>
      <c r="N23" s="81">
        <f t="shared" si="8"/>
        <v>200.54825380464362</v>
      </c>
      <c r="O23" s="81">
        <f t="shared" si="8"/>
        <v>205.56196014975967</v>
      </c>
      <c r="P23" s="81">
        <f t="shared" si="8"/>
        <v>210.70100915350366</v>
      </c>
      <c r="Q23" s="81">
        <f t="shared" si="8"/>
        <v>215.9685343823412</v>
      </c>
      <c r="R23" s="81">
        <f t="shared" si="8"/>
        <v>148.95283941699427</v>
      </c>
      <c r="S23" s="81">
        <f t="shared" si="8"/>
        <v>226.90194143544721</v>
      </c>
      <c r="T23" s="81">
        <f t="shared" si="8"/>
        <v>232.57448997133338</v>
      </c>
      <c r="U23" s="81">
        <f t="shared" si="8"/>
        <v>238.38885222061674</v>
      </c>
      <c r="V23" s="81">
        <f t="shared" si="8"/>
        <v>244.34857352613224</v>
      </c>
      <c r="W23" s="82">
        <f t="shared" si="8"/>
        <v>10104.887158406666</v>
      </c>
      <c r="X23" s="130"/>
    </row>
    <row r="24" spans="1:24">
      <c r="A24" s="79" t="s">
        <v>11</v>
      </c>
      <c r="B24" s="80" t="s">
        <v>101</v>
      </c>
      <c r="C24" s="81">
        <f>C23</f>
        <v>-3502.6512767801023</v>
      </c>
      <c r="D24" s="81">
        <f t="shared" ref="D24:W24" si="9">D23/(1+dis)^(D$1-$C$1)</f>
        <v>149.20759556292668</v>
      </c>
      <c r="E24" s="81">
        <f t="shared" si="9"/>
        <v>145.65503376380943</v>
      </c>
      <c r="F24" s="81">
        <f t="shared" si="9"/>
        <v>142.18705676943296</v>
      </c>
      <c r="G24" s="81">
        <f t="shared" si="9"/>
        <v>138.80165065587505</v>
      </c>
      <c r="H24" s="81">
        <f t="shared" si="9"/>
        <v>91.172452461926667</v>
      </c>
      <c r="I24" s="81">
        <f t="shared" si="9"/>
        <v>132.27073398669268</v>
      </c>
      <c r="J24" s="81">
        <f t="shared" si="9"/>
        <v>129.12143079653328</v>
      </c>
      <c r="K24" s="81">
        <f t="shared" si="9"/>
        <v>126.04711101566346</v>
      </c>
      <c r="L24" s="81">
        <f t="shared" si="9"/>
        <v>123.04598932481434</v>
      </c>
      <c r="M24" s="81">
        <f t="shared" si="9"/>
        <v>41.530236178836205</v>
      </c>
      <c r="N24" s="81">
        <f t="shared" si="9"/>
        <v>117.25641046202544</v>
      </c>
      <c r="O24" s="81">
        <f t="shared" si="9"/>
        <v>114.46459116531055</v>
      </c>
      <c r="P24" s="81">
        <f t="shared" si="9"/>
        <v>111.73924375661265</v>
      </c>
      <c r="Q24" s="81">
        <f t="shared" si="9"/>
        <v>109.07878557193141</v>
      </c>
      <c r="R24" s="81">
        <f t="shared" si="9"/>
        <v>71.648862568772856</v>
      </c>
      <c r="S24" s="81">
        <f t="shared" si="9"/>
        <v>103.94639373379628</v>
      </c>
      <c r="T24" s="81">
        <f t="shared" si="9"/>
        <v>101.47147959727729</v>
      </c>
      <c r="U24" s="81">
        <f t="shared" si="9"/>
        <v>99.055491987818328</v>
      </c>
      <c r="V24" s="81">
        <f t="shared" si="9"/>
        <v>96.69702789287031</v>
      </c>
      <c r="W24" s="82">
        <f t="shared" si="9"/>
        <v>3808.4256956219128</v>
      </c>
      <c r="X24" s="130"/>
    </row>
    <row r="25" spans="1:24">
      <c r="A25" s="79" t="s">
        <v>13</v>
      </c>
      <c r="B25" s="80" t="s">
        <v>102</v>
      </c>
      <c r="C25" s="81">
        <f>C23</f>
        <v>-3502.6512767801023</v>
      </c>
      <c r="D25" s="81">
        <f>SUM($C24:D24)</f>
        <v>-3353.4436812171757</v>
      </c>
      <c r="E25" s="81">
        <f>SUM($C24:E24)</f>
        <v>-3207.7886474533661</v>
      </c>
      <c r="F25" s="81">
        <f>SUM($C24:F24)</f>
        <v>-3065.601590683933</v>
      </c>
      <c r="G25" s="81">
        <f>SUM($C24:G24)</f>
        <v>-2926.7999400280578</v>
      </c>
      <c r="H25" s="81">
        <f>SUM($C24:H24)</f>
        <v>-2835.6274875661311</v>
      </c>
      <c r="I25" s="81">
        <f>SUM($C24:I24)</f>
        <v>-2703.3567535794382</v>
      </c>
      <c r="J25" s="81">
        <f>SUM($C24:J24)</f>
        <v>-2574.2353227829049</v>
      </c>
      <c r="K25" s="81">
        <f>SUM($C24:K24)</f>
        <v>-2448.1882117672412</v>
      </c>
      <c r="L25" s="81">
        <f>SUM($C24:L24)</f>
        <v>-2325.1422224424268</v>
      </c>
      <c r="M25" s="81">
        <f>SUM($C24:M24)</f>
        <v>-2283.6119862635906</v>
      </c>
      <c r="N25" s="81">
        <f>SUM($C24:N24)</f>
        <v>-2166.355575801565</v>
      </c>
      <c r="O25" s="81">
        <f>SUM($C24:O24)</f>
        <v>-2051.8909846362544</v>
      </c>
      <c r="P25" s="81">
        <f>SUM($C24:P24)</f>
        <v>-1940.1517408796417</v>
      </c>
      <c r="Q25" s="81">
        <f>SUM($C24:Q24)</f>
        <v>-1831.0729553077103</v>
      </c>
      <c r="R25" s="81">
        <f>SUM($C24:R24)</f>
        <v>-1759.4240927389376</v>
      </c>
      <c r="S25" s="81">
        <f>SUM($C24:S24)</f>
        <v>-1655.4776990051414</v>
      </c>
      <c r="T25" s="81">
        <f>SUM($C24:T24)</f>
        <v>-1554.0062194078641</v>
      </c>
      <c r="U25" s="81">
        <f>SUM($C24:U24)</f>
        <v>-1454.9507274200457</v>
      </c>
      <c r="V25" s="81">
        <f>SUM($C24:V24)</f>
        <v>-1358.2536995271755</v>
      </c>
      <c r="W25" s="82">
        <f>SUM($C24:W24)</f>
        <v>2450.1719960947376</v>
      </c>
      <c r="X25" s="130"/>
    </row>
    <row r="26" spans="1:24">
      <c r="A26" s="74"/>
      <c r="B26" s="75"/>
      <c r="C26" s="75"/>
      <c r="D26" s="83"/>
      <c r="E26" s="83"/>
      <c r="F26" s="75"/>
      <c r="G26" s="75"/>
      <c r="H26" s="75"/>
      <c r="I26" s="75"/>
      <c r="J26" s="75"/>
      <c r="K26" s="216"/>
      <c r="L26" s="75"/>
      <c r="M26" s="75"/>
      <c r="N26" s="216"/>
      <c r="O26" s="75"/>
      <c r="P26" s="75"/>
      <c r="Q26" s="216"/>
      <c r="R26" s="75"/>
      <c r="S26" s="75"/>
      <c r="T26" s="216"/>
      <c r="U26" s="75"/>
      <c r="V26" s="75"/>
      <c r="W26" s="76"/>
      <c r="X26" s="129"/>
    </row>
    <row r="27" spans="1:24">
      <c r="A27" s="74"/>
      <c r="B27" s="84" t="s">
        <v>103</v>
      </c>
      <c r="C27" s="75"/>
      <c r="D27" s="75" t="s">
        <v>104</v>
      </c>
      <c r="E27" s="122">
        <f>'Summary - Cash'!C9</f>
        <v>2.5000000000000001E-2</v>
      </c>
      <c r="F27" s="75"/>
      <c r="G27" s="75" t="s">
        <v>105</v>
      </c>
      <c r="H27" s="122">
        <f>'Summary - Cash'!F9</f>
        <v>0.05</v>
      </c>
      <c r="I27" s="75"/>
      <c r="J27" s="214" t="s">
        <v>106</v>
      </c>
      <c r="K27" s="218">
        <f>Energy!J23</f>
        <v>1888.9442033349824</v>
      </c>
      <c r="L27" s="215"/>
      <c r="M27" s="220" t="s">
        <v>153</v>
      </c>
      <c r="N27" s="221">
        <f>Energy!I23</f>
        <v>533.66834555123194</v>
      </c>
      <c r="O27" s="215"/>
      <c r="P27" s="219" t="s">
        <v>125</v>
      </c>
      <c r="Q27" s="218">
        <f>'Summary - Cash'!F33*'Summary - Cash'!B33</f>
        <v>1459.4380319917093</v>
      </c>
      <c r="R27" s="215"/>
      <c r="S27" s="219" t="s">
        <v>126</v>
      </c>
      <c r="T27" s="222">
        <f>'Summary - Cash'!G33*'Summary - Cash'!B33</f>
        <v>875.66281919502558</v>
      </c>
      <c r="U27" s="215"/>
      <c r="V27" s="75"/>
      <c r="W27" s="76"/>
      <c r="X27" s="129"/>
    </row>
    <row r="28" spans="1:24">
      <c r="A28" s="74"/>
      <c r="B28" s="75"/>
      <c r="C28" s="75"/>
      <c r="D28" s="75"/>
      <c r="E28" s="216"/>
      <c r="F28" s="75"/>
      <c r="G28" s="75"/>
      <c r="H28" s="75"/>
      <c r="I28" s="75"/>
      <c r="J28" s="75"/>
      <c r="K28" s="217"/>
      <c r="L28" s="75"/>
      <c r="M28" s="75"/>
      <c r="N28" s="204"/>
      <c r="O28" s="75"/>
      <c r="P28" s="75"/>
      <c r="Q28" s="204"/>
      <c r="R28" s="75"/>
      <c r="S28" s="75"/>
      <c r="T28" s="204"/>
      <c r="U28" s="75"/>
      <c r="V28" s="75"/>
      <c r="W28" s="76"/>
      <c r="X28" s="129"/>
    </row>
    <row r="29" spans="1:24">
      <c r="A29" s="74"/>
      <c r="B29" s="75"/>
      <c r="C29" s="75"/>
      <c r="D29" s="223" t="s">
        <v>107</v>
      </c>
      <c r="E29" s="218">
        <f>'Summary - Cash'!H14</f>
        <v>125</v>
      </c>
      <c r="F29" s="215" t="s">
        <v>119</v>
      </c>
      <c r="G29" s="336" t="s">
        <v>382</v>
      </c>
      <c r="H29" s="93"/>
      <c r="I29" s="85" t="s">
        <v>152</v>
      </c>
      <c r="J29" s="219" t="s">
        <v>108</v>
      </c>
      <c r="K29" s="218">
        <f>'Summary - Cash'!C10</f>
        <v>25</v>
      </c>
      <c r="L29" s="215" t="s">
        <v>119</v>
      </c>
      <c r="M29" s="86" t="s">
        <v>120</v>
      </c>
      <c r="N29" s="231">
        <v>0</v>
      </c>
      <c r="O29" s="88" t="s">
        <v>109</v>
      </c>
      <c r="P29" s="89" t="s">
        <v>118</v>
      </c>
      <c r="Q29" s="87"/>
      <c r="R29" s="75" t="s">
        <v>119</v>
      </c>
      <c r="S29" s="75"/>
      <c r="T29" s="75"/>
      <c r="U29" s="75"/>
      <c r="V29" s="75"/>
      <c r="W29" s="76"/>
      <c r="X29" s="129"/>
    </row>
    <row r="30" spans="1:24">
      <c r="A30" s="74"/>
      <c r="B30" s="75"/>
      <c r="C30" s="75"/>
      <c r="D30" s="75"/>
      <c r="E30" s="204"/>
      <c r="F30" s="75"/>
      <c r="G30" s="75"/>
      <c r="H30" s="75"/>
      <c r="I30" s="75"/>
      <c r="J30" s="75"/>
      <c r="K30" s="204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  <c r="X30" s="129"/>
    </row>
    <row r="31" spans="1:24">
      <c r="A31" s="74"/>
      <c r="B31" s="90" t="s">
        <v>121</v>
      </c>
      <c r="C31" s="75"/>
      <c r="D31" s="75"/>
      <c r="E31" s="75" t="s">
        <v>122</v>
      </c>
      <c r="F31" s="75"/>
      <c r="G31" s="75"/>
      <c r="H31" s="91">
        <f>IRR($C23:$W23)</f>
        <v>8.674462870248463E-2</v>
      </c>
      <c r="I31" s="85"/>
      <c r="J31" s="85" t="s">
        <v>102</v>
      </c>
      <c r="K31" s="92">
        <f>$W25</f>
        <v>2450.1719960947376</v>
      </c>
      <c r="L31" s="104"/>
      <c r="M31" s="85"/>
      <c r="N31" s="85"/>
      <c r="O31" s="85"/>
      <c r="P31" s="86" t="s">
        <v>123</v>
      </c>
      <c r="Q31" s="93">
        <f>MATCH(1,D25:W25)</f>
        <v>19</v>
      </c>
      <c r="R31" s="75"/>
      <c r="S31" s="75"/>
      <c r="T31" s="75"/>
      <c r="U31" s="75"/>
      <c r="V31" s="75"/>
      <c r="W31" s="76"/>
      <c r="X31" s="129"/>
    </row>
    <row r="32" spans="1:24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6"/>
    </row>
    <row r="33" spans="1:13">
      <c r="B33" s="2" t="s">
        <v>113</v>
      </c>
      <c r="D33" s="3"/>
      <c r="E33" s="3"/>
      <c r="F33" s="3"/>
      <c r="G33" s="3"/>
      <c r="H33" s="3"/>
    </row>
    <row r="34" spans="1:13">
      <c r="A34">
        <v>1</v>
      </c>
      <c r="B34" t="s">
        <v>369</v>
      </c>
      <c r="D34" s="4"/>
    </row>
    <row r="35" spans="1:13">
      <c r="A35">
        <v>2</v>
      </c>
      <c r="B35" t="s">
        <v>131</v>
      </c>
      <c r="L35" s="224"/>
      <c r="M35" s="138" t="s">
        <v>307</v>
      </c>
    </row>
    <row r="36" spans="1:13">
      <c r="A36">
        <v>3</v>
      </c>
      <c r="B36" s="138" t="s">
        <v>383</v>
      </c>
      <c r="L36" s="227"/>
      <c r="M36" s="138" t="s">
        <v>308</v>
      </c>
    </row>
    <row r="37" spans="1:13">
      <c r="A37">
        <v>4</v>
      </c>
      <c r="B37" s="138" t="s">
        <v>393</v>
      </c>
    </row>
    <row r="38" spans="1:13">
      <c r="A38">
        <v>5</v>
      </c>
      <c r="B38" s="138" t="s">
        <v>425</v>
      </c>
    </row>
    <row r="41" spans="1:13">
      <c r="B41" s="6"/>
    </row>
  </sheetData>
  <sheetProtection selectLockedCells="1"/>
  <printOptions horizontalCentered="1"/>
  <pageMargins left="1" right="1" top="2.25" bottom="1" header="0.5" footer="0.5"/>
  <pageSetup paperSize="3" scale="80" orientation="landscape" r:id="rId1"/>
  <headerFooter alignWithMargins="0">
    <oddHeader>&amp;L&amp;"Arial,Bold Italic"&amp;11Privileged and Confidential&amp;C&amp;"Arial,Bold Italic"&amp;11Ten Mile River Feasibility Study
Phase 1
&amp;R&amp;"Arial,Bold Italic"&amp;11&amp;A</oddHeader>
    <oddFooter>&amp;L&amp;G&amp;C&amp;"Arial,Bold Italic"For Planning Purposes Only&amp;R&amp;"Arial,Bold Italic"&amp;F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/>
  </sheetPr>
  <dimension ref="A1:AD41"/>
  <sheetViews>
    <sheetView view="pageBreakPreview" zoomScale="70" zoomScaleNormal="100" zoomScaleSheetLayoutView="70" workbookViewId="0">
      <selection activeCell="H11" sqref="H11"/>
    </sheetView>
  </sheetViews>
  <sheetFormatPr defaultRowHeight="12.75"/>
  <cols>
    <col min="1" max="1" width="4.5703125" customWidth="1"/>
    <col min="2" max="2" width="30.85546875" customWidth="1"/>
    <col min="3" max="3" width="9.28515625" bestFit="1" customWidth="1"/>
    <col min="4" max="4" width="9.42578125" bestFit="1" customWidth="1"/>
    <col min="5" max="7" width="9.28515625" bestFit="1" customWidth="1"/>
    <col min="8" max="8" width="9.85546875" bestFit="1" customWidth="1"/>
    <col min="9" max="9" width="9.28515625" bestFit="1" customWidth="1"/>
    <col min="10" max="10" width="12.28515625" customWidth="1"/>
    <col min="11" max="11" width="12.42578125" customWidth="1"/>
    <col min="12" max="12" width="10.42578125" bestFit="1" customWidth="1"/>
    <col min="13" max="23" width="9.28515625" bestFit="1" customWidth="1"/>
    <col min="24" max="24" width="25.28515625" style="112" customWidth="1"/>
  </cols>
  <sheetData>
    <row r="1" spans="1:30" ht="26.25" thickBot="1">
      <c r="A1" s="228" t="s">
        <v>0</v>
      </c>
      <c r="B1" s="229" t="s">
        <v>92</v>
      </c>
      <c r="C1" s="229">
        <v>0</v>
      </c>
      <c r="D1" s="229">
        <v>1</v>
      </c>
      <c r="E1" s="229">
        <v>2</v>
      </c>
      <c r="F1" s="229">
        <v>3</v>
      </c>
      <c r="G1" s="229">
        <v>4</v>
      </c>
      <c r="H1" s="229">
        <v>5</v>
      </c>
      <c r="I1" s="229">
        <v>6</v>
      </c>
      <c r="J1" s="229">
        <v>7</v>
      </c>
      <c r="K1" s="229">
        <v>8</v>
      </c>
      <c r="L1" s="229">
        <v>9</v>
      </c>
      <c r="M1" s="229">
        <v>10</v>
      </c>
      <c r="N1" s="229">
        <v>11</v>
      </c>
      <c r="O1" s="229">
        <v>12</v>
      </c>
      <c r="P1" s="229">
        <v>13</v>
      </c>
      <c r="Q1" s="229">
        <v>14</v>
      </c>
      <c r="R1" s="229">
        <v>15</v>
      </c>
      <c r="S1" s="229">
        <v>16</v>
      </c>
      <c r="T1" s="229">
        <v>17</v>
      </c>
      <c r="U1" s="229">
        <v>18</v>
      </c>
      <c r="V1" s="229">
        <v>19</v>
      </c>
      <c r="W1" s="230">
        <v>20</v>
      </c>
      <c r="X1" s="120" t="s">
        <v>199</v>
      </c>
      <c r="AA1" s="1"/>
      <c r="AB1" s="1"/>
      <c r="AC1" s="1"/>
      <c r="AD1" s="1"/>
    </row>
    <row r="2" spans="1:30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6"/>
      <c r="X2" s="129"/>
    </row>
    <row r="3" spans="1:30">
      <c r="A3" s="77">
        <v>1</v>
      </c>
      <c r="B3" s="78" t="s">
        <v>110</v>
      </c>
      <c r="C3" s="216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129"/>
    </row>
    <row r="4" spans="1:30">
      <c r="A4" s="79" t="s">
        <v>8</v>
      </c>
      <c r="B4" s="225" t="s">
        <v>93</v>
      </c>
      <c r="C4" s="227">
        <f>'Costs C (1-2 min flow)'!F137</f>
        <v>4976.0082243799361</v>
      </c>
      <c r="D4" s="226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130"/>
    </row>
    <row r="5" spans="1:30">
      <c r="A5" s="79" t="s">
        <v>11</v>
      </c>
      <c r="B5" s="80" t="s">
        <v>94</v>
      </c>
      <c r="C5" s="197"/>
      <c r="D5" s="81">
        <f t="shared" ref="D5:W5" si="0">mwh*(0.015)*(1+esc)^(D$1-$C$1)</f>
        <v>17.488570485284704</v>
      </c>
      <c r="E5" s="81">
        <f t="shared" si="0"/>
        <v>17.925784747416824</v>
      </c>
      <c r="F5" s="81">
        <f t="shared" si="0"/>
        <v>18.373929366102242</v>
      </c>
      <c r="G5" s="81">
        <f t="shared" si="0"/>
        <v>18.833277600254796</v>
      </c>
      <c r="H5" s="81">
        <f t="shared" si="0"/>
        <v>19.304109540261166</v>
      </c>
      <c r="I5" s="81">
        <f t="shared" si="0"/>
        <v>19.786712278767691</v>
      </c>
      <c r="J5" s="81">
        <f t="shared" si="0"/>
        <v>20.281380085736885</v>
      </c>
      <c r="K5" s="81">
        <f t="shared" si="0"/>
        <v>20.788414587880307</v>
      </c>
      <c r="L5" s="81">
        <f t="shared" si="0"/>
        <v>21.308124952577309</v>
      </c>
      <c r="M5" s="81">
        <f t="shared" si="0"/>
        <v>21.840828076391745</v>
      </c>
      <c r="N5" s="81">
        <f t="shared" si="0"/>
        <v>22.386848778301538</v>
      </c>
      <c r="O5" s="81">
        <f t="shared" si="0"/>
        <v>22.946519997759072</v>
      </c>
      <c r="P5" s="81">
        <f t="shared" si="0"/>
        <v>23.520182997703049</v>
      </c>
      <c r="Q5" s="81">
        <f t="shared" si="0"/>
        <v>24.108187572645623</v>
      </c>
      <c r="R5" s="81">
        <f t="shared" si="0"/>
        <v>24.710892261961767</v>
      </c>
      <c r="S5" s="81">
        <f t="shared" si="0"/>
        <v>25.32866456851081</v>
      </c>
      <c r="T5" s="81">
        <f t="shared" si="0"/>
        <v>25.961881182723577</v>
      </c>
      <c r="U5" s="81">
        <f t="shared" si="0"/>
        <v>26.610928212291665</v>
      </c>
      <c r="V5" s="81">
        <f t="shared" si="0"/>
        <v>27.276201417598958</v>
      </c>
      <c r="W5" s="81">
        <f t="shared" si="0"/>
        <v>27.958106453038926</v>
      </c>
      <c r="X5" s="130"/>
    </row>
    <row r="6" spans="1:30">
      <c r="A6" s="79" t="s">
        <v>13</v>
      </c>
      <c r="B6" s="80" t="s">
        <v>95</v>
      </c>
      <c r="C6" s="81"/>
      <c r="D6" s="81"/>
      <c r="E6" s="81"/>
      <c r="F6" s="81"/>
      <c r="G6" s="81"/>
      <c r="H6" s="81">
        <f>50*(1+esc)^(H1-$C1)</f>
        <v>56.570410644531236</v>
      </c>
      <c r="I6" s="81"/>
      <c r="J6" s="81"/>
      <c r="K6" s="81"/>
      <c r="L6" s="81"/>
      <c r="M6" s="81">
        <f>100*(1+esc)^(M1-$C1)</f>
        <v>128.00845441963571</v>
      </c>
      <c r="N6" s="81"/>
      <c r="O6" s="81"/>
      <c r="P6" s="81"/>
      <c r="Q6" s="81"/>
      <c r="R6" s="81">
        <f>50*(1+esc)^(R1-$C1)</f>
        <v>72.414908324905525</v>
      </c>
      <c r="S6" s="81"/>
      <c r="T6" s="81"/>
      <c r="U6" s="81"/>
      <c r="V6" s="81"/>
      <c r="W6" s="82">
        <f>100*(1+esc)^(W1-$C1)</f>
        <v>163.86164402903955</v>
      </c>
      <c r="X6" s="130"/>
    </row>
    <row r="7" spans="1:30">
      <c r="A7" s="79" t="s">
        <v>16</v>
      </c>
      <c r="B7" s="332" t="s">
        <v>368</v>
      </c>
      <c r="C7" s="81"/>
      <c r="D7" s="81">
        <f t="shared" ref="D7:W7" si="1">(0.0025*$C$4*(1+esc)^(D$1-$C$1))</f>
        <v>12.751021074973584</v>
      </c>
      <c r="E7" s="81">
        <f t="shared" si="1"/>
        <v>13.069796601847925</v>
      </c>
      <c r="F7" s="81">
        <f t="shared" si="1"/>
        <v>13.396541516894123</v>
      </c>
      <c r="G7" s="81">
        <f t="shared" si="1"/>
        <v>13.731455054816474</v>
      </c>
      <c r="H7" s="81">
        <f t="shared" si="1"/>
        <v>14.074741431186885</v>
      </c>
      <c r="I7" s="81">
        <f t="shared" si="1"/>
        <v>14.426609966966556</v>
      </c>
      <c r="J7" s="81">
        <f t="shared" si="1"/>
        <v>14.787275216140721</v>
      </c>
      <c r="K7" s="81">
        <f t="shared" si="1"/>
        <v>15.156957096544236</v>
      </c>
      <c r="L7" s="81">
        <f t="shared" si="1"/>
        <v>15.53588102395784</v>
      </c>
      <c r="M7" s="81">
        <f t="shared" si="1"/>
        <v>15.924278049556786</v>
      </c>
      <c r="N7" s="81">
        <f t="shared" si="1"/>
        <v>16.322385000795705</v>
      </c>
      <c r="O7" s="81">
        <f t="shared" si="1"/>
        <v>16.730444625815597</v>
      </c>
      <c r="P7" s="81">
        <f t="shared" si="1"/>
        <v>17.148705741460986</v>
      </c>
      <c r="Q7" s="81">
        <f t="shared" si="1"/>
        <v>17.577423384997509</v>
      </c>
      <c r="R7" s="81">
        <f t="shared" si="1"/>
        <v>18.016858969622451</v>
      </c>
      <c r="S7" s="81">
        <f t="shared" si="1"/>
        <v>18.467280443863007</v>
      </c>
      <c r="T7" s="81">
        <f t="shared" si="1"/>
        <v>18.928962454959581</v>
      </c>
      <c r="U7" s="81">
        <f t="shared" si="1"/>
        <v>19.402186516333572</v>
      </c>
      <c r="V7" s="81">
        <f t="shared" si="1"/>
        <v>19.887241179241911</v>
      </c>
      <c r="W7" s="81">
        <f t="shared" si="1"/>
        <v>20.384422208722956</v>
      </c>
      <c r="X7" s="130"/>
    </row>
    <row r="8" spans="1:30">
      <c r="A8" s="79" t="s">
        <v>19</v>
      </c>
      <c r="B8" s="332" t="s">
        <v>381</v>
      </c>
      <c r="C8" s="81"/>
      <c r="D8" s="81">
        <f t="shared" ref="D8:W8" si="2">(0.015*$C$4*(1+esc)^(D$1-$C$1))</f>
        <v>76.506126449841503</v>
      </c>
      <c r="E8" s="81">
        <f t="shared" si="2"/>
        <v>78.418779611087544</v>
      </c>
      <c r="F8" s="81">
        <f t="shared" si="2"/>
        <v>80.379249101364735</v>
      </c>
      <c r="G8" s="81">
        <f t="shared" si="2"/>
        <v>82.388730328898845</v>
      </c>
      <c r="H8" s="81">
        <f t="shared" si="2"/>
        <v>84.448448587121305</v>
      </c>
      <c r="I8" s="81">
        <f t="shared" si="2"/>
        <v>86.559659801799327</v>
      </c>
      <c r="J8" s="81">
        <f t="shared" si="2"/>
        <v>88.723651296844324</v>
      </c>
      <c r="K8" s="81">
        <f t="shared" si="2"/>
        <v>90.941742579265423</v>
      </c>
      <c r="L8" s="81">
        <f t="shared" si="2"/>
        <v>93.215286143747036</v>
      </c>
      <c r="M8" s="81">
        <f t="shared" si="2"/>
        <v>95.545668297340711</v>
      </c>
      <c r="N8" s="81">
        <f t="shared" si="2"/>
        <v>97.934310004774233</v>
      </c>
      <c r="O8" s="81">
        <f t="shared" si="2"/>
        <v>100.38266775489357</v>
      </c>
      <c r="P8" s="81">
        <f t="shared" si="2"/>
        <v>102.89223444876592</v>
      </c>
      <c r="Q8" s="81">
        <f t="shared" si="2"/>
        <v>105.46454030998505</v>
      </c>
      <c r="R8" s="81">
        <f t="shared" si="2"/>
        <v>108.1011538177347</v>
      </c>
      <c r="S8" s="81">
        <f t="shared" si="2"/>
        <v>110.80368266317805</v>
      </c>
      <c r="T8" s="81">
        <f t="shared" si="2"/>
        <v>113.57377472975749</v>
      </c>
      <c r="U8" s="81">
        <f t="shared" si="2"/>
        <v>116.41311909800143</v>
      </c>
      <c r="V8" s="81">
        <f t="shared" si="2"/>
        <v>119.32344707545147</v>
      </c>
      <c r="W8" s="81">
        <f t="shared" si="2"/>
        <v>122.30653325233774</v>
      </c>
      <c r="X8" s="130"/>
    </row>
    <row r="9" spans="1:30">
      <c r="A9" s="199" t="s">
        <v>21</v>
      </c>
      <c r="B9" s="200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2"/>
      <c r="X9" s="130"/>
    </row>
    <row r="10" spans="1:30">
      <c r="A10" s="195" t="s">
        <v>35</v>
      </c>
      <c r="B10" s="196" t="s">
        <v>96</v>
      </c>
      <c r="C10" s="197">
        <f t="shared" ref="C10:W10" si="3">SUM(C4:C9)</f>
        <v>4976.0082243799361</v>
      </c>
      <c r="D10" s="197">
        <f t="shared" si="3"/>
        <v>106.74571801009979</v>
      </c>
      <c r="E10" s="197">
        <f t="shared" si="3"/>
        <v>109.4143609603523</v>
      </c>
      <c r="F10" s="197">
        <f t="shared" si="3"/>
        <v>112.1497199843611</v>
      </c>
      <c r="G10" s="197">
        <f t="shared" si="3"/>
        <v>114.95346298397011</v>
      </c>
      <c r="H10" s="197">
        <f t="shared" si="3"/>
        <v>174.39771020310059</v>
      </c>
      <c r="I10" s="197">
        <f t="shared" si="3"/>
        <v>120.77298204753357</v>
      </c>
      <c r="J10" s="197">
        <f t="shared" si="3"/>
        <v>123.79230659872192</v>
      </c>
      <c r="K10" s="197">
        <f t="shared" si="3"/>
        <v>126.88711426368997</v>
      </c>
      <c r="L10" s="197">
        <f t="shared" si="3"/>
        <v>130.05929212028218</v>
      </c>
      <c r="M10" s="197">
        <f t="shared" si="3"/>
        <v>261.31922884292499</v>
      </c>
      <c r="N10" s="197">
        <f t="shared" si="3"/>
        <v>136.64354378387148</v>
      </c>
      <c r="O10" s="197">
        <f t="shared" si="3"/>
        <v>140.05963237846825</v>
      </c>
      <c r="P10" s="197">
        <f t="shared" si="3"/>
        <v>143.56112318792995</v>
      </c>
      <c r="Q10" s="197">
        <f t="shared" si="3"/>
        <v>147.15015126762819</v>
      </c>
      <c r="R10" s="197">
        <f t="shared" si="3"/>
        <v>223.24381337422443</v>
      </c>
      <c r="S10" s="197">
        <f t="shared" si="3"/>
        <v>154.59962767555186</v>
      </c>
      <c r="T10" s="197">
        <f t="shared" si="3"/>
        <v>158.46461836744066</v>
      </c>
      <c r="U10" s="197">
        <f t="shared" si="3"/>
        <v>162.42623382662669</v>
      </c>
      <c r="V10" s="197">
        <f t="shared" si="3"/>
        <v>166.48688967229234</v>
      </c>
      <c r="W10" s="198">
        <f t="shared" si="3"/>
        <v>334.51070594313921</v>
      </c>
      <c r="X10" s="130"/>
    </row>
    <row r="11" spans="1:30">
      <c r="A11" s="74"/>
      <c r="B11" s="7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2"/>
      <c r="X11" s="130"/>
    </row>
    <row r="12" spans="1:30">
      <c r="A12" s="77">
        <v>2</v>
      </c>
      <c r="B12" s="78" t="s">
        <v>111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2"/>
      <c r="X12" s="130"/>
    </row>
    <row r="13" spans="1:30">
      <c r="A13" s="79" t="s">
        <v>8</v>
      </c>
      <c r="B13" s="80" t="s">
        <v>125</v>
      </c>
      <c r="C13" s="81">
        <f>$Q$27</f>
        <v>1244.002056094984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2"/>
      <c r="X13" s="130"/>
    </row>
    <row r="14" spans="1:30">
      <c r="A14" s="79" t="s">
        <v>11</v>
      </c>
      <c r="B14" s="80" t="s">
        <v>127</v>
      </c>
      <c r="C14" s="81">
        <f>T27</f>
        <v>708.10673976476403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  <c r="X14" s="130"/>
    </row>
    <row r="15" spans="1:30">
      <c r="A15" s="79" t="s">
        <v>13</v>
      </c>
      <c r="B15" s="80" t="s">
        <v>97</v>
      </c>
      <c r="C15" s="81"/>
      <c r="D15" s="81">
        <f t="shared" ref="D15:W15" si="4">0.001*mwh*ene*(1+esc)^(D$1-$C$1)</f>
        <v>145.73808737737255</v>
      </c>
      <c r="E15" s="81">
        <f t="shared" si="4"/>
        <v>149.38153956180687</v>
      </c>
      <c r="F15" s="81">
        <f t="shared" si="4"/>
        <v>153.11607805085205</v>
      </c>
      <c r="G15" s="81">
        <f t="shared" si="4"/>
        <v>156.94398000212334</v>
      </c>
      <c r="H15" s="81">
        <f t="shared" si="4"/>
        <v>160.8675795021764</v>
      </c>
      <c r="I15" s="81">
        <f t="shared" si="4"/>
        <v>164.88926898973079</v>
      </c>
      <c r="J15" s="81">
        <f t="shared" si="4"/>
        <v>169.01150071447407</v>
      </c>
      <c r="K15" s="81">
        <f t="shared" si="4"/>
        <v>173.2367882323359</v>
      </c>
      <c r="L15" s="81">
        <f t="shared" si="4"/>
        <v>177.56770793814428</v>
      </c>
      <c r="M15" s="81">
        <f t="shared" si="4"/>
        <v>182.00690063659789</v>
      </c>
      <c r="N15" s="81">
        <f t="shared" si="4"/>
        <v>186.55707315251283</v>
      </c>
      <c r="O15" s="81">
        <f t="shared" si="4"/>
        <v>191.22099998132563</v>
      </c>
      <c r="P15" s="81">
        <f t="shared" si="4"/>
        <v>196.00152498085876</v>
      </c>
      <c r="Q15" s="81">
        <f t="shared" si="4"/>
        <v>200.90156310538021</v>
      </c>
      <c r="R15" s="81">
        <f t="shared" si="4"/>
        <v>205.92410218301475</v>
      </c>
      <c r="S15" s="81">
        <f t="shared" si="4"/>
        <v>211.07220473759008</v>
      </c>
      <c r="T15" s="81">
        <f t="shared" si="4"/>
        <v>216.34900985602982</v>
      </c>
      <c r="U15" s="81">
        <f t="shared" si="4"/>
        <v>221.75773510243059</v>
      </c>
      <c r="V15" s="81">
        <f t="shared" si="4"/>
        <v>227.30167847999135</v>
      </c>
      <c r="W15" s="82">
        <f t="shared" si="4"/>
        <v>232.98422044199108</v>
      </c>
      <c r="X15" s="130"/>
    </row>
    <row r="16" spans="1:30">
      <c r="A16" s="79" t="s">
        <v>16</v>
      </c>
      <c r="B16" s="80" t="s">
        <v>98</v>
      </c>
      <c r="C16" s="81"/>
      <c r="D16" s="81">
        <f t="shared" ref="D16:W16" si="5">0.001*mwh*$K$29*(1+esc)^(D$1-$C$1)</f>
        <v>29.147617475474515</v>
      </c>
      <c r="E16" s="81">
        <f t="shared" si="5"/>
        <v>29.876307912361376</v>
      </c>
      <c r="F16" s="81">
        <f t="shared" si="5"/>
        <v>30.623215610170412</v>
      </c>
      <c r="G16" s="81">
        <f t="shared" si="5"/>
        <v>31.388796000424669</v>
      </c>
      <c r="H16" s="81">
        <f t="shared" si="5"/>
        <v>32.173515900435284</v>
      </c>
      <c r="I16" s="81">
        <f t="shared" si="5"/>
        <v>32.97785379794616</v>
      </c>
      <c r="J16" s="81">
        <f t="shared" si="5"/>
        <v>33.802300142894815</v>
      </c>
      <c r="K16" s="81">
        <f t="shared" si="5"/>
        <v>34.647357646467185</v>
      </c>
      <c r="L16" s="81">
        <f t="shared" si="5"/>
        <v>35.513541587628858</v>
      </c>
      <c r="M16" s="81">
        <f t="shared" si="5"/>
        <v>36.401380127319577</v>
      </c>
      <c r="N16" s="81">
        <f t="shared" si="5"/>
        <v>37.311414630502568</v>
      </c>
      <c r="O16" s="81">
        <f t="shared" si="5"/>
        <v>38.244199996265131</v>
      </c>
      <c r="P16" s="81">
        <f t="shared" si="5"/>
        <v>39.200304996171752</v>
      </c>
      <c r="Q16" s="81">
        <f t="shared" si="5"/>
        <v>40.180312621076048</v>
      </c>
      <c r="R16" s="81">
        <f t="shared" si="5"/>
        <v>41.184820436602955</v>
      </c>
      <c r="S16" s="81">
        <f t="shared" si="5"/>
        <v>42.214440947518021</v>
      </c>
      <c r="T16" s="81">
        <f t="shared" si="5"/>
        <v>43.269801971205965</v>
      </c>
      <c r="U16" s="81">
        <f t="shared" si="5"/>
        <v>44.351547020486116</v>
      </c>
      <c r="V16" s="81">
        <f t="shared" si="5"/>
        <v>45.460335695998275</v>
      </c>
      <c r="W16" s="81">
        <f t="shared" si="5"/>
        <v>46.596844088398221</v>
      </c>
      <c r="X16" s="105"/>
    </row>
    <row r="17" spans="1:24">
      <c r="A17" s="79" t="s">
        <v>19</v>
      </c>
      <c r="B17" s="80" t="s">
        <v>117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2"/>
      <c r="X17" s="130"/>
    </row>
    <row r="18" spans="1:24">
      <c r="A18" s="79" t="s">
        <v>21</v>
      </c>
      <c r="B18" s="80" t="s">
        <v>150</v>
      </c>
      <c r="C18" s="81"/>
      <c r="D18" s="81">
        <f t="shared" ref="D18:W18" si="6">0.001*cap*12*(dem)*(1+esc)^(D$1-$C$1)</f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1">
        <f t="shared" si="6"/>
        <v>0</v>
      </c>
      <c r="P18" s="81">
        <f t="shared" si="6"/>
        <v>0</v>
      </c>
      <c r="Q18" s="81">
        <f t="shared" si="6"/>
        <v>0</v>
      </c>
      <c r="R18" s="81">
        <f t="shared" si="6"/>
        <v>0</v>
      </c>
      <c r="S18" s="81">
        <f t="shared" si="6"/>
        <v>0</v>
      </c>
      <c r="T18" s="81">
        <f t="shared" si="6"/>
        <v>0</v>
      </c>
      <c r="U18" s="81">
        <f t="shared" si="6"/>
        <v>0</v>
      </c>
      <c r="V18" s="81">
        <f t="shared" si="6"/>
        <v>0</v>
      </c>
      <c r="W18" s="82">
        <f t="shared" si="6"/>
        <v>0</v>
      </c>
      <c r="X18" s="130"/>
    </row>
    <row r="19" spans="1:24">
      <c r="A19" s="199" t="s">
        <v>35</v>
      </c>
      <c r="B19" s="355" t="s">
        <v>426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202">
        <f>IF($V$23&lt;=0,0,(1+esc)*$V$23/(dis-esc))</f>
        <v>4357.2801046515888</v>
      </c>
      <c r="X19" s="130"/>
    </row>
    <row r="20" spans="1:24">
      <c r="A20" s="195" t="s">
        <v>36</v>
      </c>
      <c r="B20" s="196" t="s">
        <v>99</v>
      </c>
      <c r="C20" s="197">
        <f>SUM(C13:C19)</f>
        <v>1952.1087958597482</v>
      </c>
      <c r="D20" s="197">
        <f t="shared" ref="D20:W20" si="7">SUM(D13:D19)</f>
        <v>174.88570485284706</v>
      </c>
      <c r="E20" s="197">
        <f t="shared" si="7"/>
        <v>179.25784747416824</v>
      </c>
      <c r="F20" s="197">
        <f t="shared" si="7"/>
        <v>183.73929366102246</v>
      </c>
      <c r="G20" s="197">
        <f t="shared" si="7"/>
        <v>188.332776002548</v>
      </c>
      <c r="H20" s="197">
        <f t="shared" si="7"/>
        <v>193.04109540261169</v>
      </c>
      <c r="I20" s="197">
        <f t="shared" si="7"/>
        <v>197.86712278767695</v>
      </c>
      <c r="J20" s="197">
        <f t="shared" si="7"/>
        <v>202.81380085736888</v>
      </c>
      <c r="K20" s="197">
        <f t="shared" si="7"/>
        <v>207.88414587880308</v>
      </c>
      <c r="L20" s="197">
        <f t="shared" si="7"/>
        <v>213.08124952577313</v>
      </c>
      <c r="M20" s="197">
        <f t="shared" si="7"/>
        <v>218.40828076391747</v>
      </c>
      <c r="N20" s="197">
        <f t="shared" si="7"/>
        <v>223.86848778301538</v>
      </c>
      <c r="O20" s="197">
        <f t="shared" si="7"/>
        <v>229.46519997759077</v>
      </c>
      <c r="P20" s="197">
        <f t="shared" si="7"/>
        <v>235.20182997703051</v>
      </c>
      <c r="Q20" s="197">
        <f t="shared" si="7"/>
        <v>241.08187572645625</v>
      </c>
      <c r="R20" s="197">
        <f t="shared" si="7"/>
        <v>247.10892261961772</v>
      </c>
      <c r="S20" s="197">
        <f t="shared" si="7"/>
        <v>253.28664568510811</v>
      </c>
      <c r="T20" s="197">
        <f t="shared" si="7"/>
        <v>259.61881182723579</v>
      </c>
      <c r="U20" s="197">
        <f t="shared" si="7"/>
        <v>266.10928212291668</v>
      </c>
      <c r="V20" s="197">
        <f t="shared" si="7"/>
        <v>272.76201417598963</v>
      </c>
      <c r="W20" s="197">
        <f t="shared" si="7"/>
        <v>4636.8611691819779</v>
      </c>
      <c r="X20" s="105"/>
    </row>
    <row r="21" spans="1:2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  <c r="X21" s="344">
        <f>0.5*C4*(1+esc)^20</f>
        <v>4076.8844417445912</v>
      </c>
    </row>
    <row r="22" spans="1:24">
      <c r="A22" s="77">
        <v>3</v>
      </c>
      <c r="B22" s="78" t="s">
        <v>112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6"/>
      <c r="X22" s="344">
        <f>(1+esc)*V23/(dis-esc)</f>
        <v>4357.2801046515888</v>
      </c>
    </row>
    <row r="23" spans="1:24">
      <c r="A23" s="79" t="s">
        <v>8</v>
      </c>
      <c r="B23" s="80" t="s">
        <v>100</v>
      </c>
      <c r="C23" s="81">
        <f t="shared" ref="C23:W23" si="8">C20-C10</f>
        <v>-3023.8994285201879</v>
      </c>
      <c r="D23" s="81">
        <f t="shared" si="8"/>
        <v>68.139986842747263</v>
      </c>
      <c r="E23" s="81">
        <f t="shared" si="8"/>
        <v>69.843486513815947</v>
      </c>
      <c r="F23" s="81">
        <f t="shared" si="8"/>
        <v>71.58957367666136</v>
      </c>
      <c r="G23" s="81">
        <f t="shared" si="8"/>
        <v>73.379313018577889</v>
      </c>
      <c r="H23" s="81">
        <f t="shared" si="8"/>
        <v>18.643385199511101</v>
      </c>
      <c r="I23" s="81">
        <f t="shared" si="8"/>
        <v>77.094140740143374</v>
      </c>
      <c r="J23" s="81">
        <f t="shared" si="8"/>
        <v>79.021494258646953</v>
      </c>
      <c r="K23" s="81">
        <f t="shared" si="8"/>
        <v>80.997031615113116</v>
      </c>
      <c r="L23" s="81">
        <f t="shared" si="8"/>
        <v>83.021957405490951</v>
      </c>
      <c r="M23" s="81">
        <f t="shared" si="8"/>
        <v>-42.910948079007511</v>
      </c>
      <c r="N23" s="81">
        <f t="shared" si="8"/>
        <v>87.224943999143903</v>
      </c>
      <c r="O23" s="81">
        <f t="shared" si="8"/>
        <v>89.40556759912252</v>
      </c>
      <c r="P23" s="81">
        <f t="shared" si="8"/>
        <v>91.640706789100562</v>
      </c>
      <c r="Q23" s="81">
        <f t="shared" si="8"/>
        <v>93.931724458828057</v>
      </c>
      <c r="R23" s="81">
        <f t="shared" si="8"/>
        <v>23.865109245393285</v>
      </c>
      <c r="S23" s="81">
        <f t="shared" si="8"/>
        <v>98.687018009556255</v>
      </c>
      <c r="T23" s="81">
        <f t="shared" si="8"/>
        <v>101.15419345979512</v>
      </c>
      <c r="U23" s="81">
        <f t="shared" si="8"/>
        <v>103.68304829629</v>
      </c>
      <c r="V23" s="81">
        <f t="shared" si="8"/>
        <v>106.2751245036973</v>
      </c>
      <c r="W23" s="82">
        <f t="shared" si="8"/>
        <v>4302.3504632388385</v>
      </c>
      <c r="X23" s="130"/>
    </row>
    <row r="24" spans="1:24">
      <c r="A24" s="79" t="s">
        <v>11</v>
      </c>
      <c r="B24" s="80" t="s">
        <v>101</v>
      </c>
      <c r="C24" s="81">
        <f>C23</f>
        <v>-3023.8994285201879</v>
      </c>
      <c r="D24" s="81">
        <f t="shared" ref="D24:W24" si="9">D23/(1+dis)^(D$1-$C$1)</f>
        <v>64.895225564521198</v>
      </c>
      <c r="E24" s="81">
        <f t="shared" si="9"/>
        <v>63.350101146318316</v>
      </c>
      <c r="F24" s="81">
        <f t="shared" si="9"/>
        <v>61.84176540473932</v>
      </c>
      <c r="G24" s="81">
        <f t="shared" si="9"/>
        <v>60.36934241891219</v>
      </c>
      <c r="H24" s="81">
        <f t="shared" si="9"/>
        <v>14.607580135367739</v>
      </c>
      <c r="I24" s="81">
        <f t="shared" si="9"/>
        <v>57.528834810766085</v>
      </c>
      <c r="J24" s="81">
        <f t="shared" si="9"/>
        <v>56.159100648604969</v>
      </c>
      <c r="K24" s="81">
        <f t="shared" si="9"/>
        <v>54.821979204590569</v>
      </c>
      <c r="L24" s="81">
        <f t="shared" si="9"/>
        <v>53.516693985433648</v>
      </c>
      <c r="M24" s="81">
        <f t="shared" si="9"/>
        <v>-26.343599747702097</v>
      </c>
      <c r="N24" s="81">
        <f t="shared" si="9"/>
        <v>50.998618248023774</v>
      </c>
      <c r="O24" s="81">
        <f t="shared" si="9"/>
        <v>49.784365432594655</v>
      </c>
      <c r="P24" s="81">
        <f t="shared" si="9"/>
        <v>48.599023398485237</v>
      </c>
      <c r="Q24" s="81">
        <f t="shared" si="9"/>
        <v>47.441903793759401</v>
      </c>
      <c r="R24" s="81">
        <f t="shared" si="9"/>
        <v>11.479525594843061</v>
      </c>
      <c r="S24" s="81">
        <f t="shared" si="9"/>
        <v>45.20966002115054</v>
      </c>
      <c r="T24" s="81">
        <f t="shared" si="9"/>
        <v>44.133239544456458</v>
      </c>
      <c r="U24" s="81">
        <f t="shared" si="9"/>
        <v>43.0824481267313</v>
      </c>
      <c r="V24" s="81">
        <f t="shared" si="9"/>
        <v>42.056675552285341</v>
      </c>
      <c r="W24" s="82">
        <f t="shared" si="9"/>
        <v>1621.5106412285004</v>
      </c>
      <c r="X24" s="130"/>
    </row>
    <row r="25" spans="1:24">
      <c r="A25" s="79" t="s">
        <v>13</v>
      </c>
      <c r="B25" s="80" t="s">
        <v>102</v>
      </c>
      <c r="C25" s="81">
        <f>C23</f>
        <v>-3023.8994285201879</v>
      </c>
      <c r="D25" s="81">
        <f>SUM($C24:D24)</f>
        <v>-2959.0042029556666</v>
      </c>
      <c r="E25" s="81">
        <f>SUM($C24:E24)</f>
        <v>-2895.6541018093485</v>
      </c>
      <c r="F25" s="81">
        <f>SUM($C24:F24)</f>
        <v>-2833.8123364046091</v>
      </c>
      <c r="G25" s="81">
        <f>SUM($C24:G24)</f>
        <v>-2773.4429939856968</v>
      </c>
      <c r="H25" s="81">
        <f>SUM($C24:H24)</f>
        <v>-2758.8354138503291</v>
      </c>
      <c r="I25" s="81">
        <f>SUM($C24:I24)</f>
        <v>-2701.3065790395631</v>
      </c>
      <c r="J25" s="81">
        <f>SUM($C24:J24)</f>
        <v>-2645.147478390958</v>
      </c>
      <c r="K25" s="81">
        <f>SUM($C24:K24)</f>
        <v>-2590.3254991863673</v>
      </c>
      <c r="L25" s="81">
        <f>SUM($C24:L24)</f>
        <v>-2536.8088052009339</v>
      </c>
      <c r="M25" s="81">
        <f>SUM($C24:M24)</f>
        <v>-2563.1524049486361</v>
      </c>
      <c r="N25" s="81">
        <f>SUM($C24:N24)</f>
        <v>-2512.1537867006123</v>
      </c>
      <c r="O25" s="81">
        <f>SUM($C24:O24)</f>
        <v>-2462.3694212680175</v>
      </c>
      <c r="P25" s="81">
        <f>SUM($C24:P24)</f>
        <v>-2413.7703978695322</v>
      </c>
      <c r="Q25" s="81">
        <f>SUM($C24:Q24)</f>
        <v>-2366.3284940757726</v>
      </c>
      <c r="R25" s="81">
        <f>SUM($C24:R24)</f>
        <v>-2354.8489684809297</v>
      </c>
      <c r="S25" s="81">
        <f>SUM($C24:S24)</f>
        <v>-2309.6393084597789</v>
      </c>
      <c r="T25" s="81">
        <f>SUM($C24:T24)</f>
        <v>-2265.5060689153224</v>
      </c>
      <c r="U25" s="81">
        <f>SUM($C24:U24)</f>
        <v>-2222.4236207885911</v>
      </c>
      <c r="V25" s="81">
        <f>SUM($C24:V24)</f>
        <v>-2180.3669452363056</v>
      </c>
      <c r="W25" s="82">
        <f>SUM($C24:W24)</f>
        <v>-558.85630400780519</v>
      </c>
      <c r="X25" s="130"/>
    </row>
    <row r="26" spans="1:24">
      <c r="A26" s="74"/>
      <c r="B26" s="75"/>
      <c r="C26" s="75"/>
      <c r="D26" s="83"/>
      <c r="E26" s="83"/>
      <c r="F26" s="75"/>
      <c r="G26" s="75"/>
      <c r="H26" s="75"/>
      <c r="I26" s="75"/>
      <c r="J26" s="75"/>
      <c r="K26" s="216"/>
      <c r="L26" s="75"/>
      <c r="M26" s="75"/>
      <c r="N26" s="216"/>
      <c r="O26" s="75"/>
      <c r="P26" s="75"/>
      <c r="Q26" s="216"/>
      <c r="R26" s="75"/>
      <c r="S26" s="75"/>
      <c r="T26" s="216"/>
      <c r="U26" s="75"/>
      <c r="V26" s="75"/>
      <c r="W26" s="76"/>
      <c r="X26" s="129"/>
    </row>
    <row r="27" spans="1:24">
      <c r="A27" s="74"/>
      <c r="B27" s="84" t="s">
        <v>103</v>
      </c>
      <c r="C27" s="75"/>
      <c r="D27" s="75" t="s">
        <v>104</v>
      </c>
      <c r="E27" s="122">
        <f>'Summary - Cash'!C9</f>
        <v>2.5000000000000001E-2</v>
      </c>
      <c r="F27" s="75"/>
      <c r="G27" s="75" t="s">
        <v>105</v>
      </c>
      <c r="H27" s="122">
        <f>'Summary - Cash'!F9</f>
        <v>0.05</v>
      </c>
      <c r="I27" s="75"/>
      <c r="J27" s="214" t="s">
        <v>106</v>
      </c>
      <c r="K27" s="218">
        <f>Energy!J17</f>
        <v>1137.4679990429079</v>
      </c>
      <c r="L27" s="215"/>
      <c r="M27" s="220" t="s">
        <v>153</v>
      </c>
      <c r="N27" s="221">
        <f>Energy!I17</f>
        <v>326.41587198231383</v>
      </c>
      <c r="O27" s="215"/>
      <c r="P27" s="219" t="s">
        <v>125</v>
      </c>
      <c r="Q27" s="218">
        <f>'Summary - Cash'!F27*'Summary - Cash'!B27</f>
        <v>1244.002056094984</v>
      </c>
      <c r="R27" s="215"/>
      <c r="S27" s="219" t="s">
        <v>126</v>
      </c>
      <c r="T27" s="222">
        <f>'Summary - Cash'!G16*'Summary - Cash'!B16</f>
        <v>708.10673976476403</v>
      </c>
      <c r="U27" s="215"/>
      <c r="V27" s="75"/>
      <c r="W27" s="76"/>
      <c r="X27" s="129"/>
    </row>
    <row r="28" spans="1:24">
      <c r="A28" s="74"/>
      <c r="B28" s="75"/>
      <c r="C28" s="75"/>
      <c r="D28" s="75"/>
      <c r="E28" s="216"/>
      <c r="F28" s="75"/>
      <c r="G28" s="75"/>
      <c r="H28" s="75"/>
      <c r="I28" s="75"/>
      <c r="J28" s="75"/>
      <c r="K28" s="217"/>
      <c r="L28" s="75"/>
      <c r="M28" s="75"/>
      <c r="N28" s="204"/>
      <c r="O28" s="75"/>
      <c r="P28" s="75"/>
      <c r="Q28" s="204"/>
      <c r="R28" s="75"/>
      <c r="S28" s="75"/>
      <c r="T28" s="204"/>
      <c r="U28" s="75"/>
      <c r="V28" s="75"/>
      <c r="W28" s="76"/>
      <c r="X28" s="129"/>
    </row>
    <row r="29" spans="1:24">
      <c r="A29" s="74"/>
      <c r="B29" s="75"/>
      <c r="C29" s="75"/>
      <c r="D29" s="223" t="s">
        <v>107</v>
      </c>
      <c r="E29" s="218">
        <f>'Summary - Cash'!H14</f>
        <v>125</v>
      </c>
      <c r="F29" s="215" t="s">
        <v>119</v>
      </c>
      <c r="G29" s="336" t="s">
        <v>382</v>
      </c>
      <c r="H29" s="93"/>
      <c r="I29" s="85" t="s">
        <v>152</v>
      </c>
      <c r="J29" s="219" t="s">
        <v>108</v>
      </c>
      <c r="K29" s="218">
        <f>'Summary - Cash'!C10</f>
        <v>25</v>
      </c>
      <c r="L29" s="215" t="s">
        <v>119</v>
      </c>
      <c r="M29" s="86" t="s">
        <v>120</v>
      </c>
      <c r="N29" s="231">
        <v>0</v>
      </c>
      <c r="O29" s="88" t="s">
        <v>109</v>
      </c>
      <c r="P29" s="89" t="s">
        <v>118</v>
      </c>
      <c r="Q29" s="87"/>
      <c r="R29" s="75" t="s">
        <v>119</v>
      </c>
      <c r="S29" s="75"/>
      <c r="T29" s="75"/>
      <c r="U29" s="75"/>
      <c r="V29" s="75"/>
      <c r="W29" s="76"/>
      <c r="X29" s="129"/>
    </row>
    <row r="30" spans="1:24">
      <c r="A30" s="74"/>
      <c r="B30" s="75"/>
      <c r="C30" s="75"/>
      <c r="D30" s="75"/>
      <c r="E30" s="204"/>
      <c r="F30" s="75"/>
      <c r="G30" s="75"/>
      <c r="H30" s="75"/>
      <c r="I30" s="75"/>
      <c r="J30" s="75"/>
      <c r="K30" s="204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  <c r="X30" s="129"/>
    </row>
    <row r="31" spans="1:24">
      <c r="A31" s="74"/>
      <c r="B31" s="90" t="s">
        <v>121</v>
      </c>
      <c r="C31" s="75"/>
      <c r="D31" s="75"/>
      <c r="E31" s="75" t="s">
        <v>122</v>
      </c>
      <c r="F31" s="75"/>
      <c r="G31" s="75"/>
      <c r="H31" s="91">
        <f>IRR($C23:$W23)</f>
        <v>3.7098941041972533E-2</v>
      </c>
      <c r="I31" s="85"/>
      <c r="J31" s="85" t="s">
        <v>102</v>
      </c>
      <c r="K31" s="92">
        <f>$W25</f>
        <v>-558.85630400780519</v>
      </c>
      <c r="L31" s="104"/>
      <c r="M31" s="85"/>
      <c r="N31" s="85"/>
      <c r="O31" s="85"/>
      <c r="P31" s="86" t="s">
        <v>123</v>
      </c>
      <c r="Q31" s="93">
        <f>MATCH(1,D25:W25)</f>
        <v>20</v>
      </c>
      <c r="R31" s="75"/>
      <c r="S31" s="75"/>
      <c r="T31" s="75"/>
      <c r="U31" s="75"/>
      <c r="V31" s="75"/>
      <c r="W31" s="76"/>
      <c r="X31" s="129"/>
    </row>
    <row r="32" spans="1:24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6"/>
    </row>
    <row r="33" spans="1:13">
      <c r="B33" s="2" t="s">
        <v>113</v>
      </c>
      <c r="D33" s="3"/>
      <c r="E33" s="3"/>
      <c r="F33" s="3"/>
      <c r="G33" s="3"/>
      <c r="H33" s="3"/>
    </row>
    <row r="34" spans="1:13">
      <c r="A34">
        <v>1</v>
      </c>
      <c r="B34" t="s">
        <v>369</v>
      </c>
      <c r="D34" s="4"/>
    </row>
    <row r="35" spans="1:13">
      <c r="A35">
        <v>2</v>
      </c>
      <c r="B35" t="s">
        <v>131</v>
      </c>
      <c r="L35" s="224"/>
      <c r="M35" s="138" t="s">
        <v>307</v>
      </c>
    </row>
    <row r="36" spans="1:13">
      <c r="A36">
        <v>3</v>
      </c>
      <c r="B36" s="138" t="s">
        <v>383</v>
      </c>
      <c r="L36" s="227"/>
      <c r="M36" s="138" t="s">
        <v>308</v>
      </c>
    </row>
    <row r="37" spans="1:13">
      <c r="A37">
        <v>4</v>
      </c>
      <c r="B37" s="138" t="s">
        <v>393</v>
      </c>
    </row>
    <row r="38" spans="1:13">
      <c r="A38">
        <v>5</v>
      </c>
      <c r="B38" s="138" t="s">
        <v>425</v>
      </c>
    </row>
    <row r="41" spans="1:13">
      <c r="B41" s="6"/>
    </row>
  </sheetData>
  <sheetProtection selectLockedCells="1"/>
  <printOptions horizontalCentered="1"/>
  <pageMargins left="1" right="1" top="2.25" bottom="1" header="0.5" footer="0.5"/>
  <pageSetup paperSize="3" scale="80" orientation="landscape" r:id="rId1"/>
  <headerFooter alignWithMargins="0">
    <oddHeader>&amp;L&amp;"Arial,Bold Italic"&amp;11Privileged and Confidential&amp;C&amp;"Arial,Bold Italic"&amp;11Ten Mile River Feasibility Study
Phase 1
&amp;R&amp;"Arial,Bold Italic"&amp;11&amp;A</oddHeader>
    <oddFooter>&amp;L&amp;G&amp;C&amp;"Arial,Bold Italic"For Planning Purposes Only&amp;R&amp;"Arial,Bold Italic"&amp;F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/>
  </sheetPr>
  <dimension ref="A1:AD41"/>
  <sheetViews>
    <sheetView view="pageBreakPreview" zoomScale="70" zoomScaleNormal="100" zoomScaleSheetLayoutView="70" workbookViewId="0">
      <selection activeCell="H11" sqref="H11"/>
    </sheetView>
  </sheetViews>
  <sheetFormatPr defaultRowHeight="12.75"/>
  <cols>
    <col min="1" max="1" width="4.5703125" customWidth="1"/>
    <col min="2" max="2" width="30.85546875" customWidth="1"/>
    <col min="3" max="3" width="9.28515625" bestFit="1" customWidth="1"/>
    <col min="4" max="4" width="9.42578125" bestFit="1" customWidth="1"/>
    <col min="5" max="7" width="9.28515625" bestFit="1" customWidth="1"/>
    <col min="8" max="8" width="9.85546875" bestFit="1" customWidth="1"/>
    <col min="9" max="9" width="9.28515625" bestFit="1" customWidth="1"/>
    <col min="10" max="10" width="12.28515625" customWidth="1"/>
    <col min="11" max="11" width="12.42578125" customWidth="1"/>
    <col min="12" max="12" width="10.42578125" bestFit="1" customWidth="1"/>
    <col min="13" max="23" width="9.28515625" bestFit="1" customWidth="1"/>
    <col min="24" max="24" width="25.28515625" style="112" customWidth="1"/>
  </cols>
  <sheetData>
    <row r="1" spans="1:30" ht="26.25" thickBot="1">
      <c r="A1" s="228" t="s">
        <v>0</v>
      </c>
      <c r="B1" s="229" t="s">
        <v>92</v>
      </c>
      <c r="C1" s="229">
        <v>0</v>
      </c>
      <c r="D1" s="229">
        <v>1</v>
      </c>
      <c r="E1" s="229">
        <v>2</v>
      </c>
      <c r="F1" s="229">
        <v>3</v>
      </c>
      <c r="G1" s="229">
        <v>4</v>
      </c>
      <c r="H1" s="229">
        <v>5</v>
      </c>
      <c r="I1" s="229">
        <v>6</v>
      </c>
      <c r="J1" s="229">
        <v>7</v>
      </c>
      <c r="K1" s="229">
        <v>8</v>
      </c>
      <c r="L1" s="229">
        <v>9</v>
      </c>
      <c r="M1" s="229">
        <v>10</v>
      </c>
      <c r="N1" s="229">
        <v>11</v>
      </c>
      <c r="O1" s="229">
        <v>12</v>
      </c>
      <c r="P1" s="229">
        <v>13</v>
      </c>
      <c r="Q1" s="229">
        <v>14</v>
      </c>
      <c r="R1" s="229">
        <v>15</v>
      </c>
      <c r="S1" s="229">
        <v>16</v>
      </c>
      <c r="T1" s="229">
        <v>17</v>
      </c>
      <c r="U1" s="229">
        <v>18</v>
      </c>
      <c r="V1" s="229">
        <v>19</v>
      </c>
      <c r="W1" s="230">
        <v>20</v>
      </c>
      <c r="X1" s="120" t="s">
        <v>199</v>
      </c>
      <c r="AA1" s="1"/>
      <c r="AB1" s="1"/>
      <c r="AC1" s="1"/>
      <c r="AD1" s="1"/>
    </row>
    <row r="2" spans="1:30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6"/>
      <c r="X2" s="129"/>
    </row>
    <row r="3" spans="1:30">
      <c r="A3" s="77">
        <v>1</v>
      </c>
      <c r="B3" s="78" t="s">
        <v>110</v>
      </c>
      <c r="C3" s="216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129"/>
    </row>
    <row r="4" spans="1:30">
      <c r="A4" s="79" t="s">
        <v>8</v>
      </c>
      <c r="B4" s="225" t="s">
        <v>93</v>
      </c>
      <c r="C4" s="227">
        <f>'Costs C - Francis Refurb'!F137</f>
        <v>4211.9853866107196</v>
      </c>
      <c r="D4" s="226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130"/>
    </row>
    <row r="5" spans="1:30">
      <c r="A5" s="79" t="s">
        <v>11</v>
      </c>
      <c r="B5" s="80" t="s">
        <v>94</v>
      </c>
      <c r="C5" s="197"/>
      <c r="D5" s="81">
        <f t="shared" ref="D5:W5" si="0">mwh*(0.015)*(1+esc)^(D$1-$C$1)</f>
        <v>11.41684182417448</v>
      </c>
      <c r="E5" s="81">
        <f t="shared" si="0"/>
        <v>11.702262869778842</v>
      </c>
      <c r="F5" s="81">
        <f t="shared" si="0"/>
        <v>11.994819441523312</v>
      </c>
      <c r="G5" s="81">
        <f t="shared" si="0"/>
        <v>12.294689927561393</v>
      </c>
      <c r="H5" s="81">
        <f t="shared" si="0"/>
        <v>12.602057175750428</v>
      </c>
      <c r="I5" s="81">
        <f t="shared" si="0"/>
        <v>12.917108605144188</v>
      </c>
      <c r="J5" s="81">
        <f t="shared" si="0"/>
        <v>13.240036320272793</v>
      </c>
      <c r="K5" s="81">
        <f t="shared" si="0"/>
        <v>13.571037228279611</v>
      </c>
      <c r="L5" s="81">
        <f t="shared" si="0"/>
        <v>13.910313158986598</v>
      </c>
      <c r="M5" s="81">
        <f t="shared" si="0"/>
        <v>14.258070987961265</v>
      </c>
      <c r="N5" s="81">
        <f t="shared" si="0"/>
        <v>14.614522762660295</v>
      </c>
      <c r="O5" s="81">
        <f t="shared" si="0"/>
        <v>14.979885831726802</v>
      </c>
      <c r="P5" s="81">
        <f t="shared" si="0"/>
        <v>15.354382977519972</v>
      </c>
      <c r="Q5" s="81">
        <f t="shared" si="0"/>
        <v>15.738242551957969</v>
      </c>
      <c r="R5" s="81">
        <f t="shared" si="0"/>
        <v>16.131698615756921</v>
      </c>
      <c r="S5" s="81">
        <f t="shared" si="0"/>
        <v>16.534991081150842</v>
      </c>
      <c r="T5" s="81">
        <f t="shared" si="0"/>
        <v>16.94836585817961</v>
      </c>
      <c r="U5" s="81">
        <f t="shared" si="0"/>
        <v>17.372075004634102</v>
      </c>
      <c r="V5" s="81">
        <f t="shared" si="0"/>
        <v>17.806376879749955</v>
      </c>
      <c r="W5" s="81">
        <f t="shared" si="0"/>
        <v>18.251536301743702</v>
      </c>
      <c r="X5" s="130"/>
    </row>
    <row r="6" spans="1:30">
      <c r="A6" s="79" t="s">
        <v>13</v>
      </c>
      <c r="B6" s="80" t="s">
        <v>95</v>
      </c>
      <c r="C6" s="81"/>
      <c r="D6" s="81"/>
      <c r="E6" s="81"/>
      <c r="F6" s="81"/>
      <c r="G6" s="81"/>
      <c r="H6" s="81">
        <f>50*(1+esc)^(H1-$C1)</f>
        <v>56.570410644531236</v>
      </c>
      <c r="I6" s="81"/>
      <c r="J6" s="81"/>
      <c r="K6" s="81"/>
      <c r="L6" s="81"/>
      <c r="M6" s="81">
        <f>100*(1+esc)^(M1-$C1)</f>
        <v>128.00845441963571</v>
      </c>
      <c r="N6" s="81"/>
      <c r="O6" s="81"/>
      <c r="P6" s="81"/>
      <c r="Q6" s="81"/>
      <c r="R6" s="81">
        <f>50*(1+esc)^(R1-$C1)</f>
        <v>72.414908324905525</v>
      </c>
      <c r="S6" s="81"/>
      <c r="T6" s="81"/>
      <c r="U6" s="81"/>
      <c r="V6" s="81"/>
      <c r="W6" s="82">
        <f>100*(1+esc)^(W1-$C1)</f>
        <v>163.86164402903955</v>
      </c>
      <c r="X6" s="130"/>
    </row>
    <row r="7" spans="1:30">
      <c r="A7" s="79" t="s">
        <v>16</v>
      </c>
      <c r="B7" s="332" t="s">
        <v>368</v>
      </c>
      <c r="C7" s="81"/>
      <c r="D7" s="81">
        <f t="shared" ref="D7:W7" si="1">(0.0025*$C$4*(1+esc)^(D$1-$C$1))</f>
        <v>10.793212553189969</v>
      </c>
      <c r="E7" s="81">
        <f t="shared" si="1"/>
        <v>11.063042867019718</v>
      </c>
      <c r="F7" s="81">
        <f t="shared" si="1"/>
        <v>11.33961893869521</v>
      </c>
      <c r="G7" s="81">
        <f t="shared" si="1"/>
        <v>11.62310941216259</v>
      </c>
      <c r="H7" s="81">
        <f t="shared" si="1"/>
        <v>11.913687147466653</v>
      </c>
      <c r="I7" s="81">
        <f t="shared" si="1"/>
        <v>12.211529326153318</v>
      </c>
      <c r="J7" s="81">
        <f t="shared" si="1"/>
        <v>12.516817559307153</v>
      </c>
      <c r="K7" s="81">
        <f t="shared" si="1"/>
        <v>12.829737998289831</v>
      </c>
      <c r="L7" s="81">
        <f t="shared" si="1"/>
        <v>13.150481448247074</v>
      </c>
      <c r="M7" s="81">
        <f t="shared" si="1"/>
        <v>13.479243484453251</v>
      </c>
      <c r="N7" s="81">
        <f t="shared" si="1"/>
        <v>13.816224571564582</v>
      </c>
      <c r="O7" s="81">
        <f t="shared" si="1"/>
        <v>14.161630185853696</v>
      </c>
      <c r="P7" s="81">
        <f t="shared" si="1"/>
        <v>14.515670940500037</v>
      </c>
      <c r="Q7" s="81">
        <f t="shared" si="1"/>
        <v>14.878562714012537</v>
      </c>
      <c r="R7" s="81">
        <f t="shared" si="1"/>
        <v>15.250526781862852</v>
      </c>
      <c r="S7" s="81">
        <f t="shared" si="1"/>
        <v>15.631789951409422</v>
      </c>
      <c r="T7" s="81">
        <f t="shared" si="1"/>
        <v>16.022584700194656</v>
      </c>
      <c r="U7" s="81">
        <f t="shared" si="1"/>
        <v>16.423149317699522</v>
      </c>
      <c r="V7" s="81">
        <f t="shared" si="1"/>
        <v>16.833728050642012</v>
      </c>
      <c r="W7" s="81">
        <f t="shared" si="1"/>
        <v>17.254571251908057</v>
      </c>
      <c r="X7" s="130"/>
    </row>
    <row r="8" spans="1:30">
      <c r="A8" s="79" t="s">
        <v>19</v>
      </c>
      <c r="B8" s="332" t="s">
        <v>381</v>
      </c>
      <c r="C8" s="81"/>
      <c r="D8" s="81">
        <f t="shared" ref="D8:W8" si="2">(0.015*$C$4*(1+esc)^(D$1-$C$1))</f>
        <v>64.759275319139803</v>
      </c>
      <c r="E8" s="81">
        <f t="shared" si="2"/>
        <v>66.378257202118306</v>
      </c>
      <c r="F8" s="81">
        <f t="shared" si="2"/>
        <v>68.037713632171261</v>
      </c>
      <c r="G8" s="81">
        <f t="shared" si="2"/>
        <v>69.738656472975535</v>
      </c>
      <c r="H8" s="81">
        <f t="shared" si="2"/>
        <v>71.482122884799921</v>
      </c>
      <c r="I8" s="81">
        <f t="shared" si="2"/>
        <v>73.269175956919909</v>
      </c>
      <c r="J8" s="81">
        <f t="shared" si="2"/>
        <v>75.100905355842912</v>
      </c>
      <c r="K8" s="81">
        <f t="shared" si="2"/>
        <v>76.978427989738975</v>
      </c>
      <c r="L8" s="81">
        <f t="shared" si="2"/>
        <v>78.902888689482438</v>
      </c>
      <c r="M8" s="81">
        <f t="shared" si="2"/>
        <v>80.875460906719496</v>
      </c>
      <c r="N8" s="81">
        <f t="shared" si="2"/>
        <v>82.89734742938748</v>
      </c>
      <c r="O8" s="81">
        <f t="shared" si="2"/>
        <v>84.96978111512216</v>
      </c>
      <c r="P8" s="81">
        <f t="shared" si="2"/>
        <v>87.094025643000222</v>
      </c>
      <c r="Q8" s="81">
        <f t="shared" si="2"/>
        <v>89.271376284075217</v>
      </c>
      <c r="R8" s="81">
        <f t="shared" si="2"/>
        <v>91.503160691177101</v>
      </c>
      <c r="S8" s="81">
        <f t="shared" si="2"/>
        <v>93.790739708456528</v>
      </c>
      <c r="T8" s="81">
        <f t="shared" si="2"/>
        <v>96.135508201167923</v>
      </c>
      <c r="U8" s="81">
        <f t="shared" si="2"/>
        <v>98.538895906197126</v>
      </c>
      <c r="V8" s="81">
        <f t="shared" si="2"/>
        <v>101.00236830385205</v>
      </c>
      <c r="W8" s="81">
        <f t="shared" si="2"/>
        <v>103.52742751144835</v>
      </c>
      <c r="X8" s="130"/>
    </row>
    <row r="9" spans="1:30">
      <c r="A9" s="199" t="s">
        <v>21</v>
      </c>
      <c r="B9" s="200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2"/>
      <c r="X9" s="130"/>
    </row>
    <row r="10" spans="1:30">
      <c r="A10" s="195" t="s">
        <v>35</v>
      </c>
      <c r="B10" s="196" t="s">
        <v>96</v>
      </c>
      <c r="C10" s="197">
        <f t="shared" ref="C10:W10" si="3">SUM(C4:C9)</f>
        <v>4211.9853866107196</v>
      </c>
      <c r="D10" s="197">
        <f t="shared" si="3"/>
        <v>86.969329696504246</v>
      </c>
      <c r="E10" s="197">
        <f t="shared" si="3"/>
        <v>89.143562938916858</v>
      </c>
      <c r="F10" s="197">
        <f t="shared" si="3"/>
        <v>91.37215201238979</v>
      </c>
      <c r="G10" s="197">
        <f t="shared" si="3"/>
        <v>93.656455812699519</v>
      </c>
      <c r="H10" s="197">
        <f t="shared" si="3"/>
        <v>152.56827785254825</v>
      </c>
      <c r="I10" s="197">
        <f t="shared" si="3"/>
        <v>98.397813888217414</v>
      </c>
      <c r="J10" s="197">
        <f t="shared" si="3"/>
        <v>100.85775923542286</v>
      </c>
      <c r="K10" s="197">
        <f t="shared" si="3"/>
        <v>103.37920321630841</v>
      </c>
      <c r="L10" s="197">
        <f t="shared" si="3"/>
        <v>105.96368329671611</v>
      </c>
      <c r="M10" s="197">
        <f t="shared" si="3"/>
        <v>236.62122979876975</v>
      </c>
      <c r="N10" s="197">
        <f t="shared" si="3"/>
        <v>111.32809476361236</v>
      </c>
      <c r="O10" s="197">
        <f t="shared" si="3"/>
        <v>114.11129713270266</v>
      </c>
      <c r="P10" s="197">
        <f t="shared" si="3"/>
        <v>116.96407956102023</v>
      </c>
      <c r="Q10" s="197">
        <f t="shared" si="3"/>
        <v>119.88818155004572</v>
      </c>
      <c r="R10" s="197">
        <f t="shared" si="3"/>
        <v>195.3002944137024</v>
      </c>
      <c r="S10" s="197">
        <f t="shared" si="3"/>
        <v>125.95752074101679</v>
      </c>
      <c r="T10" s="197">
        <f t="shared" si="3"/>
        <v>129.10645875954219</v>
      </c>
      <c r="U10" s="197">
        <f t="shared" si="3"/>
        <v>132.33412022853076</v>
      </c>
      <c r="V10" s="197">
        <f t="shared" si="3"/>
        <v>135.64247323424402</v>
      </c>
      <c r="W10" s="198">
        <f t="shared" si="3"/>
        <v>302.89517909413968</v>
      </c>
      <c r="X10" s="130"/>
    </row>
    <row r="11" spans="1:30">
      <c r="A11" s="74"/>
      <c r="B11" s="7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2"/>
      <c r="X11" s="130"/>
    </row>
    <row r="12" spans="1:30">
      <c r="A12" s="77">
        <v>2</v>
      </c>
      <c r="B12" s="78" t="s">
        <v>111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2"/>
      <c r="X12" s="130"/>
    </row>
    <row r="13" spans="1:30">
      <c r="A13" s="79" t="s">
        <v>8</v>
      </c>
      <c r="B13" s="80" t="s">
        <v>125</v>
      </c>
      <c r="C13" s="81">
        <f>$Q$27</f>
        <v>1052.9963466526799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2"/>
      <c r="X13" s="130"/>
    </row>
    <row r="14" spans="1:30">
      <c r="A14" s="79" t="s">
        <v>11</v>
      </c>
      <c r="B14" s="80" t="s">
        <v>127</v>
      </c>
      <c r="C14" s="81">
        <f>T27</f>
        <v>631.7978079916079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  <c r="X14" s="130"/>
    </row>
    <row r="15" spans="1:30">
      <c r="A15" s="79" t="s">
        <v>13</v>
      </c>
      <c r="B15" s="80" t="s">
        <v>97</v>
      </c>
      <c r="C15" s="81"/>
      <c r="D15" s="81">
        <f t="shared" ref="D15:W15" si="4">0.001*mwh*ene*(1+esc)^(D$1-$C$1)</f>
        <v>95.140348534787336</v>
      </c>
      <c r="E15" s="81">
        <f t="shared" si="4"/>
        <v>97.518857248157019</v>
      </c>
      <c r="F15" s="81">
        <f t="shared" si="4"/>
        <v>99.956828679360953</v>
      </c>
      <c r="G15" s="81">
        <f t="shared" si="4"/>
        <v>102.45574939634496</v>
      </c>
      <c r="H15" s="81">
        <f t="shared" si="4"/>
        <v>105.01714313125358</v>
      </c>
      <c r="I15" s="81">
        <f t="shared" si="4"/>
        <v>107.64257170953491</v>
      </c>
      <c r="J15" s="81">
        <f t="shared" si="4"/>
        <v>110.33363600227328</v>
      </c>
      <c r="K15" s="81">
        <f t="shared" si="4"/>
        <v>113.0919769023301</v>
      </c>
      <c r="L15" s="81">
        <f t="shared" si="4"/>
        <v>115.91927632488834</v>
      </c>
      <c r="M15" s="81">
        <f t="shared" si="4"/>
        <v>118.81725823301055</v>
      </c>
      <c r="N15" s="81">
        <f t="shared" si="4"/>
        <v>121.78768968883581</v>
      </c>
      <c r="O15" s="81">
        <f t="shared" si="4"/>
        <v>124.8323819310567</v>
      </c>
      <c r="P15" s="81">
        <f t="shared" si="4"/>
        <v>127.95319147933311</v>
      </c>
      <c r="Q15" s="81">
        <f t="shared" si="4"/>
        <v>131.15202126631641</v>
      </c>
      <c r="R15" s="81">
        <f t="shared" si="4"/>
        <v>134.43082179797435</v>
      </c>
      <c r="S15" s="81">
        <f t="shared" si="4"/>
        <v>137.79159234292371</v>
      </c>
      <c r="T15" s="81">
        <f t="shared" si="4"/>
        <v>141.23638215149677</v>
      </c>
      <c r="U15" s="81">
        <f t="shared" si="4"/>
        <v>144.76729170528421</v>
      </c>
      <c r="V15" s="81">
        <f t="shared" si="4"/>
        <v>148.38647399791631</v>
      </c>
      <c r="W15" s="82">
        <f t="shared" si="4"/>
        <v>152.09613584786419</v>
      </c>
      <c r="X15" s="130"/>
    </row>
    <row r="16" spans="1:30">
      <c r="A16" s="79" t="s">
        <v>16</v>
      </c>
      <c r="B16" s="80" t="s">
        <v>98</v>
      </c>
      <c r="C16" s="81"/>
      <c r="D16" s="81">
        <f t="shared" ref="D16:W16" si="5">0.001*mwh*$K$29*(1+esc)^(D$1-$C$1)</f>
        <v>19.028069706957471</v>
      </c>
      <c r="E16" s="81">
        <f t="shared" si="5"/>
        <v>19.503771449631408</v>
      </c>
      <c r="F16" s="81">
        <f t="shared" si="5"/>
        <v>19.99136573587219</v>
      </c>
      <c r="G16" s="81">
        <f t="shared" si="5"/>
        <v>20.491149879268992</v>
      </c>
      <c r="H16" s="81">
        <f t="shared" si="5"/>
        <v>21.003428626250717</v>
      </c>
      <c r="I16" s="81">
        <f t="shared" si="5"/>
        <v>21.528514341906984</v>
      </c>
      <c r="J16" s="81">
        <f t="shared" si="5"/>
        <v>22.066727200454658</v>
      </c>
      <c r="K16" s="81">
        <f t="shared" si="5"/>
        <v>22.618395380466023</v>
      </c>
      <c r="L16" s="81">
        <f t="shared" si="5"/>
        <v>23.183855264977669</v>
      </c>
      <c r="M16" s="81">
        <f t="shared" si="5"/>
        <v>23.76345164660211</v>
      </c>
      <c r="N16" s="81">
        <f t="shared" si="5"/>
        <v>24.357537937767162</v>
      </c>
      <c r="O16" s="81">
        <f t="shared" si="5"/>
        <v>24.96647638621134</v>
      </c>
      <c r="P16" s="81">
        <f t="shared" si="5"/>
        <v>25.590638295866622</v>
      </c>
      <c r="Q16" s="81">
        <f t="shared" si="5"/>
        <v>26.230404253263288</v>
      </c>
      <c r="R16" s="81">
        <f t="shared" si="5"/>
        <v>26.886164359594872</v>
      </c>
      <c r="S16" s="81">
        <f t="shared" si="5"/>
        <v>27.558318468584741</v>
      </c>
      <c r="T16" s="81">
        <f t="shared" si="5"/>
        <v>28.247276430299355</v>
      </c>
      <c r="U16" s="81">
        <f t="shared" si="5"/>
        <v>28.953458341056841</v>
      </c>
      <c r="V16" s="81">
        <f t="shared" si="5"/>
        <v>29.677294799583262</v>
      </c>
      <c r="W16" s="81">
        <f t="shared" si="5"/>
        <v>30.419227169572839</v>
      </c>
      <c r="X16" s="105"/>
    </row>
    <row r="17" spans="1:24">
      <c r="A17" s="79" t="s">
        <v>19</v>
      </c>
      <c r="B17" s="80" t="s">
        <v>117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2"/>
      <c r="X17" s="130"/>
    </row>
    <row r="18" spans="1:24">
      <c r="A18" s="79" t="s">
        <v>21</v>
      </c>
      <c r="B18" s="80" t="s">
        <v>150</v>
      </c>
      <c r="C18" s="81"/>
      <c r="D18" s="81">
        <f t="shared" ref="D18:W18" si="6">0.001*cap*12*(dem)*(1+esc)^(D$1-$C$1)</f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1">
        <f t="shared" si="6"/>
        <v>0</v>
      </c>
      <c r="P18" s="81">
        <f t="shared" si="6"/>
        <v>0</v>
      </c>
      <c r="Q18" s="81">
        <f t="shared" si="6"/>
        <v>0</v>
      </c>
      <c r="R18" s="81">
        <f t="shared" si="6"/>
        <v>0</v>
      </c>
      <c r="S18" s="81">
        <f t="shared" si="6"/>
        <v>0</v>
      </c>
      <c r="T18" s="81">
        <f t="shared" si="6"/>
        <v>0</v>
      </c>
      <c r="U18" s="81">
        <f t="shared" si="6"/>
        <v>0</v>
      </c>
      <c r="V18" s="81">
        <f t="shared" si="6"/>
        <v>0</v>
      </c>
      <c r="W18" s="82">
        <f t="shared" si="6"/>
        <v>0</v>
      </c>
      <c r="X18" s="130"/>
    </row>
    <row r="19" spans="1:24">
      <c r="A19" s="199" t="s">
        <v>35</v>
      </c>
      <c r="B19" s="355" t="s">
        <v>426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202">
        <f>IF($V$23&lt;=0,0,(1+esc)*$V$23/(dis-esc))</f>
        <v>1739.273118093477</v>
      </c>
      <c r="X19" s="130"/>
    </row>
    <row r="20" spans="1:24">
      <c r="A20" s="195" t="s">
        <v>36</v>
      </c>
      <c r="B20" s="196" t="s">
        <v>99</v>
      </c>
      <c r="C20" s="197">
        <f>SUM(C13:C19)</f>
        <v>1684.7941546442878</v>
      </c>
      <c r="D20" s="197">
        <f t="shared" ref="D20:W20" si="7">SUM(D13:D19)</f>
        <v>114.1684182417448</v>
      </c>
      <c r="E20" s="197">
        <f t="shared" si="7"/>
        <v>117.02262869778843</v>
      </c>
      <c r="F20" s="197">
        <f t="shared" si="7"/>
        <v>119.94819441523315</v>
      </c>
      <c r="G20" s="197">
        <f t="shared" si="7"/>
        <v>122.94689927561394</v>
      </c>
      <c r="H20" s="197">
        <f t="shared" si="7"/>
        <v>126.02057175750429</v>
      </c>
      <c r="I20" s="197">
        <f t="shared" si="7"/>
        <v>129.17108605144188</v>
      </c>
      <c r="J20" s="197">
        <f t="shared" si="7"/>
        <v>132.40036320272793</v>
      </c>
      <c r="K20" s="197">
        <f t="shared" si="7"/>
        <v>135.71037228279613</v>
      </c>
      <c r="L20" s="197">
        <f t="shared" si="7"/>
        <v>139.10313158986602</v>
      </c>
      <c r="M20" s="197">
        <f t="shared" si="7"/>
        <v>142.58070987961267</v>
      </c>
      <c r="N20" s="197">
        <f t="shared" si="7"/>
        <v>146.14522762660297</v>
      </c>
      <c r="O20" s="197">
        <f t="shared" si="7"/>
        <v>149.79885831726804</v>
      </c>
      <c r="P20" s="197">
        <f t="shared" si="7"/>
        <v>153.54382977519973</v>
      </c>
      <c r="Q20" s="197">
        <f t="shared" si="7"/>
        <v>157.3824255195797</v>
      </c>
      <c r="R20" s="197">
        <f t="shared" si="7"/>
        <v>161.3169861575692</v>
      </c>
      <c r="S20" s="197">
        <f t="shared" si="7"/>
        <v>165.34991081150844</v>
      </c>
      <c r="T20" s="197">
        <f t="shared" si="7"/>
        <v>169.48365858179613</v>
      </c>
      <c r="U20" s="197">
        <f t="shared" si="7"/>
        <v>173.72075004634104</v>
      </c>
      <c r="V20" s="197">
        <f t="shared" si="7"/>
        <v>178.06376879749956</v>
      </c>
      <c r="W20" s="197">
        <f t="shared" si="7"/>
        <v>1921.7884811109141</v>
      </c>
      <c r="X20" s="105"/>
    </row>
    <row r="21" spans="1:2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  <c r="X21" s="344">
        <f>0.5*C4*(1+esc)^20</f>
        <v>3450.9142503816115</v>
      </c>
    </row>
    <row r="22" spans="1:24">
      <c r="A22" s="77">
        <v>3</v>
      </c>
      <c r="B22" s="78" t="s">
        <v>112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6"/>
      <c r="X22" s="344">
        <f>(1+esc)*V23/(dis-esc)</f>
        <v>1739.273118093477</v>
      </c>
    </row>
    <row r="23" spans="1:24">
      <c r="A23" s="79" t="s">
        <v>8</v>
      </c>
      <c r="B23" s="80" t="s">
        <v>100</v>
      </c>
      <c r="C23" s="81">
        <f t="shared" ref="C23:W23" si="8">C20-C10</f>
        <v>-2527.1912319664316</v>
      </c>
      <c r="D23" s="81">
        <f t="shared" si="8"/>
        <v>27.199088545240556</v>
      </c>
      <c r="E23" s="81">
        <f t="shared" si="8"/>
        <v>27.879065758871576</v>
      </c>
      <c r="F23" s="81">
        <f t="shared" si="8"/>
        <v>28.576042402843356</v>
      </c>
      <c r="G23" s="81">
        <f t="shared" si="8"/>
        <v>29.290443462914425</v>
      </c>
      <c r="H23" s="81">
        <f t="shared" si="8"/>
        <v>-26.547706095043964</v>
      </c>
      <c r="I23" s="81">
        <f t="shared" si="8"/>
        <v>30.773272163224462</v>
      </c>
      <c r="J23" s="81">
        <f t="shared" si="8"/>
        <v>31.54260396730507</v>
      </c>
      <c r="K23" s="81">
        <f t="shared" si="8"/>
        <v>32.331169066487718</v>
      </c>
      <c r="L23" s="81">
        <f t="shared" si="8"/>
        <v>33.139448293149911</v>
      </c>
      <c r="M23" s="81">
        <f t="shared" si="8"/>
        <v>-94.040519919157077</v>
      </c>
      <c r="N23" s="81">
        <f t="shared" si="8"/>
        <v>34.817132862990618</v>
      </c>
      <c r="O23" s="81">
        <f t="shared" si="8"/>
        <v>35.687561184565382</v>
      </c>
      <c r="P23" s="81">
        <f t="shared" si="8"/>
        <v>36.579750214179498</v>
      </c>
      <c r="Q23" s="81">
        <f t="shared" si="8"/>
        <v>37.494243969533983</v>
      </c>
      <c r="R23" s="81">
        <f t="shared" si="8"/>
        <v>-33.983308256133199</v>
      </c>
      <c r="S23" s="81">
        <f t="shared" si="8"/>
        <v>39.392390070491643</v>
      </c>
      <c r="T23" s="81">
        <f t="shared" si="8"/>
        <v>40.377199822253942</v>
      </c>
      <c r="U23" s="81">
        <f t="shared" si="8"/>
        <v>41.386629817810274</v>
      </c>
      <c r="V23" s="81">
        <f t="shared" si="8"/>
        <v>42.421295563255541</v>
      </c>
      <c r="W23" s="82">
        <f t="shared" si="8"/>
        <v>1618.8933020167744</v>
      </c>
      <c r="X23" s="130"/>
    </row>
    <row r="24" spans="1:24">
      <c r="A24" s="79" t="s">
        <v>11</v>
      </c>
      <c r="B24" s="80" t="s">
        <v>101</v>
      </c>
      <c r="C24" s="81">
        <f>C23</f>
        <v>-2527.1912319664316</v>
      </c>
      <c r="D24" s="81">
        <f t="shared" ref="D24:W24" si="9">D23/(1+dis)^(D$1-$C$1)</f>
        <v>25.903893852610054</v>
      </c>
      <c r="E24" s="81">
        <f t="shared" si="9"/>
        <v>25.287134475166962</v>
      </c>
      <c r="F24" s="81">
        <f t="shared" si="9"/>
        <v>24.685059844805835</v>
      </c>
      <c r="G24" s="81">
        <f t="shared" si="9"/>
        <v>24.097320324691399</v>
      </c>
      <c r="H24" s="81">
        <f t="shared" si="9"/>
        <v>-20.800822385181139</v>
      </c>
      <c r="I24" s="81">
        <f t="shared" si="9"/>
        <v>22.963489493087433</v>
      </c>
      <c r="J24" s="81">
        <f t="shared" si="9"/>
        <v>22.416739743252013</v>
      </c>
      <c r="K24" s="81">
        <f t="shared" si="9"/>
        <v>21.883007844603171</v>
      </c>
      <c r="L24" s="81">
        <f t="shared" si="9"/>
        <v>21.361983848303097</v>
      </c>
      <c r="M24" s="81">
        <f t="shared" si="9"/>
        <v>-57.732721548234302</v>
      </c>
      <c r="N24" s="81">
        <f t="shared" si="9"/>
        <v>20.356856490361391</v>
      </c>
      <c r="O24" s="81">
        <f t="shared" si="9"/>
        <v>19.872169431067075</v>
      </c>
      <c r="P24" s="81">
        <f t="shared" si="9"/>
        <v>19.399022539851178</v>
      </c>
      <c r="Q24" s="81">
        <f t="shared" si="9"/>
        <v>18.937141050807107</v>
      </c>
      <c r="R24" s="81">
        <f t="shared" si="9"/>
        <v>-16.346552320896102</v>
      </c>
      <c r="S24" s="81">
        <f t="shared" si="9"/>
        <v>18.046107770071849</v>
      </c>
      <c r="T24" s="81">
        <f t="shared" si="9"/>
        <v>17.616438537451092</v>
      </c>
      <c r="U24" s="81">
        <f t="shared" si="9"/>
        <v>17.196999524654629</v>
      </c>
      <c r="V24" s="81">
        <f t="shared" si="9"/>
        <v>16.78754715502</v>
      </c>
      <c r="W24" s="82">
        <f t="shared" si="9"/>
        <v>610.14385942366653</v>
      </c>
      <c r="X24" s="130"/>
    </row>
    <row r="25" spans="1:24">
      <c r="A25" s="79" t="s">
        <v>13</v>
      </c>
      <c r="B25" s="80" t="s">
        <v>102</v>
      </c>
      <c r="C25" s="81">
        <f>C23</f>
        <v>-2527.1912319664316</v>
      </c>
      <c r="D25" s="81">
        <f>SUM($C24:D24)</f>
        <v>-2501.2873381138215</v>
      </c>
      <c r="E25" s="81">
        <f>SUM($C24:E24)</f>
        <v>-2476.0002036386545</v>
      </c>
      <c r="F25" s="81">
        <f>SUM($C24:F24)</f>
        <v>-2451.3151437938486</v>
      </c>
      <c r="G25" s="81">
        <f>SUM($C24:G24)</f>
        <v>-2427.2178234691573</v>
      </c>
      <c r="H25" s="81">
        <f>SUM($C24:H24)</f>
        <v>-2448.0186458543385</v>
      </c>
      <c r="I25" s="81">
        <f>SUM($C24:I24)</f>
        <v>-2425.0551563612512</v>
      </c>
      <c r="J25" s="81">
        <f>SUM($C24:J24)</f>
        <v>-2402.6384166179992</v>
      </c>
      <c r="K25" s="81">
        <f>SUM($C24:K24)</f>
        <v>-2380.7554087733961</v>
      </c>
      <c r="L25" s="81">
        <f>SUM($C24:L24)</f>
        <v>-2359.3934249250929</v>
      </c>
      <c r="M25" s="81">
        <f>SUM($C24:M24)</f>
        <v>-2417.126146473327</v>
      </c>
      <c r="N25" s="81">
        <f>SUM($C24:N24)</f>
        <v>-2396.7692899829658</v>
      </c>
      <c r="O25" s="81">
        <f>SUM($C24:O24)</f>
        <v>-2376.8971205518988</v>
      </c>
      <c r="P25" s="81">
        <f>SUM($C24:P24)</f>
        <v>-2357.4980980120476</v>
      </c>
      <c r="Q25" s="81">
        <f>SUM($C24:Q24)</f>
        <v>-2338.5609569612407</v>
      </c>
      <c r="R25" s="81">
        <f>SUM($C24:R24)</f>
        <v>-2354.9075092821367</v>
      </c>
      <c r="S25" s="81">
        <f>SUM($C24:S24)</f>
        <v>-2336.8614015120647</v>
      </c>
      <c r="T25" s="81">
        <f>SUM($C24:T24)</f>
        <v>-2319.2449629746138</v>
      </c>
      <c r="U25" s="81">
        <f>SUM($C24:U24)</f>
        <v>-2302.0479634499593</v>
      </c>
      <c r="V25" s="81">
        <f>SUM($C24:V24)</f>
        <v>-2285.2604162949392</v>
      </c>
      <c r="W25" s="82">
        <f>SUM($C24:W24)</f>
        <v>-1675.1165568712727</v>
      </c>
      <c r="X25" s="130"/>
    </row>
    <row r="26" spans="1:24">
      <c r="A26" s="74"/>
      <c r="B26" s="75"/>
      <c r="C26" s="75"/>
      <c r="D26" s="83"/>
      <c r="E26" s="83"/>
      <c r="F26" s="75"/>
      <c r="G26" s="75"/>
      <c r="H26" s="75"/>
      <c r="I26" s="75"/>
      <c r="J26" s="75"/>
      <c r="K26" s="216"/>
      <c r="L26" s="75"/>
      <c r="M26" s="75"/>
      <c r="N26" s="216"/>
      <c r="O26" s="75"/>
      <c r="P26" s="75"/>
      <c r="Q26" s="216"/>
      <c r="R26" s="75"/>
      <c r="S26" s="75"/>
      <c r="T26" s="216"/>
      <c r="U26" s="75"/>
      <c r="V26" s="75"/>
      <c r="W26" s="76"/>
      <c r="X26" s="129"/>
    </row>
    <row r="27" spans="1:24">
      <c r="A27" s="74"/>
      <c r="B27" s="84" t="s">
        <v>103</v>
      </c>
      <c r="C27" s="75"/>
      <c r="D27" s="75" t="s">
        <v>104</v>
      </c>
      <c r="E27" s="122">
        <f>'Summary - Cash'!C9</f>
        <v>2.5000000000000001E-2</v>
      </c>
      <c r="F27" s="75"/>
      <c r="G27" s="75" t="s">
        <v>105</v>
      </c>
      <c r="H27" s="122">
        <f>'Summary - Cash'!F9</f>
        <v>0.05</v>
      </c>
      <c r="I27" s="75"/>
      <c r="J27" s="214" t="s">
        <v>106</v>
      </c>
      <c r="K27" s="218">
        <f>Energy!J7</f>
        <v>742.55881783248662</v>
      </c>
      <c r="L27" s="215"/>
      <c r="M27" s="220" t="s">
        <v>153</v>
      </c>
      <c r="N27" s="221">
        <f>Energy!I7</f>
        <v>282.25837790152985</v>
      </c>
      <c r="O27" s="215"/>
      <c r="P27" s="219" t="s">
        <v>125</v>
      </c>
      <c r="Q27" s="218">
        <f>'Summary - Cash'!F17*'Summary - Cash'!B17</f>
        <v>1052.9963466526799</v>
      </c>
      <c r="R27" s="215"/>
      <c r="S27" s="219" t="s">
        <v>126</v>
      </c>
      <c r="T27" s="222">
        <f>'Summary - Cash'!G17*'Summary - Cash'!B17</f>
        <v>631.7978079916079</v>
      </c>
      <c r="U27" s="215"/>
      <c r="V27" s="75"/>
      <c r="W27" s="76"/>
      <c r="X27" s="129"/>
    </row>
    <row r="28" spans="1:24">
      <c r="A28" s="74"/>
      <c r="B28" s="75"/>
      <c r="C28" s="75"/>
      <c r="D28" s="75"/>
      <c r="E28" s="216"/>
      <c r="F28" s="75"/>
      <c r="G28" s="75"/>
      <c r="H28" s="75"/>
      <c r="I28" s="75"/>
      <c r="J28" s="75"/>
      <c r="K28" s="217"/>
      <c r="L28" s="75"/>
      <c r="M28" s="75"/>
      <c r="N28" s="204"/>
      <c r="O28" s="75"/>
      <c r="P28" s="75"/>
      <c r="Q28" s="204"/>
      <c r="R28" s="75"/>
      <c r="S28" s="75"/>
      <c r="T28" s="204"/>
      <c r="U28" s="75"/>
      <c r="V28" s="75"/>
      <c r="W28" s="76"/>
      <c r="X28" s="129"/>
    </row>
    <row r="29" spans="1:24">
      <c r="A29" s="74"/>
      <c r="B29" s="75"/>
      <c r="C29" s="75"/>
      <c r="D29" s="223" t="s">
        <v>107</v>
      </c>
      <c r="E29" s="218">
        <f>'Summary - Cash'!H14</f>
        <v>125</v>
      </c>
      <c r="F29" s="215" t="s">
        <v>119</v>
      </c>
      <c r="G29" s="336" t="s">
        <v>382</v>
      </c>
      <c r="H29" s="93"/>
      <c r="I29" s="85" t="s">
        <v>152</v>
      </c>
      <c r="J29" s="219" t="s">
        <v>108</v>
      </c>
      <c r="K29" s="218">
        <f>'Summary - Cash'!C10</f>
        <v>25</v>
      </c>
      <c r="L29" s="215" t="s">
        <v>119</v>
      </c>
      <c r="M29" s="86" t="s">
        <v>120</v>
      </c>
      <c r="N29" s="231">
        <v>0</v>
      </c>
      <c r="O29" s="88" t="s">
        <v>109</v>
      </c>
      <c r="P29" s="89" t="s">
        <v>118</v>
      </c>
      <c r="Q29" s="87"/>
      <c r="R29" s="75" t="s">
        <v>119</v>
      </c>
      <c r="S29" s="75"/>
      <c r="T29" s="75"/>
      <c r="U29" s="75"/>
      <c r="V29" s="75"/>
      <c r="W29" s="76"/>
      <c r="X29" s="129"/>
    </row>
    <row r="30" spans="1:24">
      <c r="A30" s="74"/>
      <c r="B30" s="75"/>
      <c r="C30" s="75"/>
      <c r="D30" s="75"/>
      <c r="E30" s="204"/>
      <c r="F30" s="75"/>
      <c r="G30" s="75"/>
      <c r="H30" s="75"/>
      <c r="I30" s="75"/>
      <c r="J30" s="75"/>
      <c r="K30" s="204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  <c r="X30" s="129"/>
    </row>
    <row r="31" spans="1:24">
      <c r="A31" s="74"/>
      <c r="B31" s="90" t="s">
        <v>121</v>
      </c>
      <c r="C31" s="75"/>
      <c r="D31" s="75"/>
      <c r="E31" s="75" t="s">
        <v>122</v>
      </c>
      <c r="F31" s="75"/>
      <c r="G31" s="75"/>
      <c r="H31" s="91">
        <f>IRR($C23:$W23)</f>
        <v>-1.2306414907746553E-2</v>
      </c>
      <c r="I31" s="85"/>
      <c r="J31" s="85" t="s">
        <v>102</v>
      </c>
      <c r="K31" s="92">
        <f>$W25</f>
        <v>-1675.1165568712727</v>
      </c>
      <c r="L31" s="104"/>
      <c r="M31" s="85"/>
      <c r="N31" s="85"/>
      <c r="O31" s="85"/>
      <c r="P31" s="86" t="s">
        <v>123</v>
      </c>
      <c r="Q31" s="93">
        <f>MATCH(1,D25:W25)</f>
        <v>20</v>
      </c>
      <c r="R31" s="75"/>
      <c r="S31" s="75"/>
      <c r="T31" s="75"/>
      <c r="U31" s="75"/>
      <c r="V31" s="75"/>
      <c r="W31" s="76"/>
      <c r="X31" s="129"/>
    </row>
    <row r="32" spans="1:24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6"/>
    </row>
    <row r="33" spans="1:13">
      <c r="B33" s="2" t="s">
        <v>113</v>
      </c>
      <c r="D33" s="3"/>
      <c r="E33" s="3"/>
      <c r="F33" s="3"/>
      <c r="G33" s="3"/>
      <c r="H33" s="3"/>
    </row>
    <row r="34" spans="1:13">
      <c r="A34">
        <v>1</v>
      </c>
      <c r="B34" t="s">
        <v>369</v>
      </c>
      <c r="D34" s="4"/>
    </row>
    <row r="35" spans="1:13">
      <c r="A35">
        <v>2</v>
      </c>
      <c r="B35" t="s">
        <v>131</v>
      </c>
      <c r="L35" s="224"/>
      <c r="M35" s="138" t="s">
        <v>307</v>
      </c>
    </row>
    <row r="36" spans="1:13">
      <c r="A36">
        <v>3</v>
      </c>
      <c r="B36" s="138" t="s">
        <v>383</v>
      </c>
      <c r="L36" s="227"/>
      <c r="M36" s="138" t="s">
        <v>308</v>
      </c>
    </row>
    <row r="37" spans="1:13">
      <c r="A37">
        <v>4</v>
      </c>
      <c r="B37" s="138" t="s">
        <v>393</v>
      </c>
    </row>
    <row r="38" spans="1:13">
      <c r="A38">
        <v>5</v>
      </c>
      <c r="B38" s="138" t="s">
        <v>425</v>
      </c>
    </row>
    <row r="41" spans="1:13">
      <c r="B41" s="6"/>
    </row>
  </sheetData>
  <sheetProtection selectLockedCells="1"/>
  <printOptions horizontalCentered="1"/>
  <pageMargins left="1" right="1" top="2.25" bottom="1" header="0.5" footer="0.5"/>
  <pageSetup paperSize="3" scale="80" orientation="landscape" r:id="rId1"/>
  <headerFooter alignWithMargins="0">
    <oddHeader>&amp;L&amp;"Arial,Bold Italic"&amp;11Privileged and Confidential&amp;C&amp;"Arial,Bold Italic"&amp;11Ten Mile River Feasibility Study
Phase 1
&amp;R&amp;"Arial,Bold Italic"&amp;11&amp;A</oddHeader>
    <oddFooter>&amp;L&amp;G&amp;C&amp;"Arial,Bold Italic"For Planning Purposes Only&amp;R&amp;"Arial,Bold Italic"&amp;F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6"/>
  </sheetPr>
  <dimension ref="A1:AD41"/>
  <sheetViews>
    <sheetView view="pageBreakPreview" zoomScale="70" zoomScaleNormal="75" zoomScaleSheetLayoutView="70" workbookViewId="0">
      <selection activeCell="H11" sqref="H11"/>
    </sheetView>
  </sheetViews>
  <sheetFormatPr defaultRowHeight="12.75"/>
  <cols>
    <col min="1" max="1" width="4.5703125" customWidth="1"/>
    <col min="2" max="2" width="30.85546875" customWidth="1"/>
    <col min="3" max="3" width="9.28515625" bestFit="1" customWidth="1"/>
    <col min="4" max="4" width="9.42578125" bestFit="1" customWidth="1"/>
    <col min="5" max="7" width="9.28515625" bestFit="1" customWidth="1"/>
    <col min="8" max="8" width="9.85546875" bestFit="1" customWidth="1"/>
    <col min="9" max="9" width="9.28515625" bestFit="1" customWidth="1"/>
    <col min="10" max="10" width="12.28515625" customWidth="1"/>
    <col min="11" max="11" width="12.42578125" customWidth="1"/>
    <col min="12" max="23" width="9.28515625" bestFit="1" customWidth="1"/>
    <col min="24" max="24" width="25.28515625" style="112" customWidth="1"/>
  </cols>
  <sheetData>
    <row r="1" spans="1:30" ht="26.25" thickBot="1">
      <c r="A1" s="228" t="s">
        <v>0</v>
      </c>
      <c r="B1" s="229" t="s">
        <v>92</v>
      </c>
      <c r="C1" s="229">
        <v>0</v>
      </c>
      <c r="D1" s="229">
        <v>1</v>
      </c>
      <c r="E1" s="229">
        <v>2</v>
      </c>
      <c r="F1" s="229">
        <v>3</v>
      </c>
      <c r="G1" s="229">
        <v>4</v>
      </c>
      <c r="H1" s="229">
        <v>5</v>
      </c>
      <c r="I1" s="229">
        <v>6</v>
      </c>
      <c r="J1" s="229">
        <v>7</v>
      </c>
      <c r="K1" s="229">
        <v>8</v>
      </c>
      <c r="L1" s="229">
        <v>9</v>
      </c>
      <c r="M1" s="229">
        <v>10</v>
      </c>
      <c r="N1" s="229">
        <v>11</v>
      </c>
      <c r="O1" s="229">
        <v>12</v>
      </c>
      <c r="P1" s="229">
        <v>13</v>
      </c>
      <c r="Q1" s="229">
        <v>14</v>
      </c>
      <c r="R1" s="229">
        <v>15</v>
      </c>
      <c r="S1" s="229">
        <v>16</v>
      </c>
      <c r="T1" s="229">
        <v>17</v>
      </c>
      <c r="U1" s="229">
        <v>18</v>
      </c>
      <c r="V1" s="229">
        <v>19</v>
      </c>
      <c r="W1" s="230">
        <v>20</v>
      </c>
      <c r="X1" s="120" t="s">
        <v>199</v>
      </c>
      <c r="AA1" s="1"/>
      <c r="AB1" s="1"/>
      <c r="AC1" s="1"/>
      <c r="AD1" s="1"/>
    </row>
    <row r="2" spans="1:30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6"/>
      <c r="X2" s="129"/>
    </row>
    <row r="3" spans="1:30">
      <c r="A3" s="77">
        <v>1</v>
      </c>
      <c r="B3" s="78" t="s">
        <v>110</v>
      </c>
      <c r="C3" s="216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129"/>
    </row>
    <row r="4" spans="1:30">
      <c r="A4" s="79" t="s">
        <v>8</v>
      </c>
      <c r="B4" s="225" t="s">
        <v>93</v>
      </c>
      <c r="C4" s="227">
        <f>'Costs D'!F137</f>
        <v>3363.7446763089183</v>
      </c>
      <c r="D4" s="226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130"/>
    </row>
    <row r="5" spans="1:30" ht="14.25" customHeight="1">
      <c r="A5" s="79" t="s">
        <v>11</v>
      </c>
      <c r="B5" s="80" t="s">
        <v>94</v>
      </c>
      <c r="C5" s="197"/>
      <c r="D5" s="81">
        <f t="shared" ref="D5:W5" si="0">mwh*(0.015)*(1+esc)^(D$1-$C$1)</f>
        <v>6.1505893116026433</v>
      </c>
      <c r="E5" s="81">
        <f t="shared" si="0"/>
        <v>6.3043540443927091</v>
      </c>
      <c r="F5" s="81">
        <f t="shared" si="0"/>
        <v>6.461962895502527</v>
      </c>
      <c r="G5" s="81">
        <f t="shared" si="0"/>
        <v>6.6235119678900896</v>
      </c>
      <c r="H5" s="81">
        <f t="shared" si="0"/>
        <v>6.7890997670873405</v>
      </c>
      <c r="I5" s="81">
        <f t="shared" si="0"/>
        <v>6.9588272612645241</v>
      </c>
      <c r="J5" s="81">
        <f t="shared" si="0"/>
        <v>7.1327979427961372</v>
      </c>
      <c r="K5" s="81">
        <f t="shared" si="0"/>
        <v>7.31111789136604</v>
      </c>
      <c r="L5" s="81">
        <f t="shared" si="0"/>
        <v>7.4938958386501895</v>
      </c>
      <c r="M5" s="81">
        <f t="shared" si="0"/>
        <v>7.6812432346164448</v>
      </c>
      <c r="N5" s="81">
        <f t="shared" si="0"/>
        <v>7.8732743154818552</v>
      </c>
      <c r="O5" s="81">
        <f t="shared" si="0"/>
        <v>8.0701061733689006</v>
      </c>
      <c r="P5" s="81">
        <f t="shared" si="0"/>
        <v>8.2718588277031238</v>
      </c>
      <c r="Q5" s="81">
        <f t="shared" si="0"/>
        <v>8.4786552983957009</v>
      </c>
      <c r="R5" s="81">
        <f t="shared" si="0"/>
        <v>8.6906216808555943</v>
      </c>
      <c r="S5" s="81">
        <f t="shared" si="0"/>
        <v>8.9078872228769832</v>
      </c>
      <c r="T5" s="81">
        <f t="shared" si="0"/>
        <v>9.130584403448907</v>
      </c>
      <c r="U5" s="81">
        <f t="shared" si="0"/>
        <v>9.3588490135351297</v>
      </c>
      <c r="V5" s="81">
        <f t="shared" si="0"/>
        <v>9.5928202388735091</v>
      </c>
      <c r="W5" s="81">
        <f t="shared" si="0"/>
        <v>9.8326407448453441</v>
      </c>
      <c r="X5" s="130"/>
    </row>
    <row r="6" spans="1:30">
      <c r="A6" s="79" t="s">
        <v>13</v>
      </c>
      <c r="B6" s="80" t="s">
        <v>95</v>
      </c>
      <c r="C6" s="81"/>
      <c r="D6" s="81"/>
      <c r="E6" s="81"/>
      <c r="F6" s="81"/>
      <c r="G6" s="81"/>
      <c r="H6" s="81">
        <f>50*(1+esc)^(H1-$C1)</f>
        <v>56.570410644531236</v>
      </c>
      <c r="I6" s="81"/>
      <c r="J6" s="81"/>
      <c r="K6" s="81"/>
      <c r="L6" s="81"/>
      <c r="M6" s="81">
        <f>100*(1+esc)^(M1-$C1)</f>
        <v>128.00845441963571</v>
      </c>
      <c r="N6" s="81"/>
      <c r="O6" s="81"/>
      <c r="P6" s="81"/>
      <c r="Q6" s="81"/>
      <c r="R6" s="81">
        <f>50*(1+esc)^(R1-$C1)</f>
        <v>72.414908324905525</v>
      </c>
      <c r="S6" s="81"/>
      <c r="T6" s="81"/>
      <c r="U6" s="81"/>
      <c r="V6" s="81"/>
      <c r="W6" s="82">
        <f>100*(1+esc)^(W1-$C1)</f>
        <v>163.86164402903955</v>
      </c>
      <c r="X6" s="130"/>
    </row>
    <row r="7" spans="1:30">
      <c r="A7" s="79" t="s">
        <v>16</v>
      </c>
      <c r="B7" s="332" t="s">
        <v>368</v>
      </c>
      <c r="C7" s="81"/>
      <c r="D7" s="81">
        <f t="shared" ref="D7:W7" si="1">(0.0025*$C$4*(1+esc)^(D$1-$C$1))</f>
        <v>8.6195957330416029</v>
      </c>
      <c r="E7" s="81">
        <f t="shared" si="1"/>
        <v>8.8350856263676434</v>
      </c>
      <c r="F7" s="81">
        <f t="shared" si="1"/>
        <v>9.0559627670268341</v>
      </c>
      <c r="G7" s="81">
        <f t="shared" si="1"/>
        <v>9.2823618362025044</v>
      </c>
      <c r="H7" s="81">
        <f t="shared" si="1"/>
        <v>9.5144208821075669</v>
      </c>
      <c r="I7" s="81">
        <f t="shared" si="1"/>
        <v>9.7522814041602537</v>
      </c>
      <c r="J7" s="81">
        <f t="shared" si="1"/>
        <v>9.9960884392642608</v>
      </c>
      <c r="K7" s="81">
        <f t="shared" si="1"/>
        <v>10.245990650245867</v>
      </c>
      <c r="L7" s="81">
        <f t="shared" si="1"/>
        <v>10.502140416502012</v>
      </c>
      <c r="M7" s="81">
        <f t="shared" si="1"/>
        <v>10.764693926914562</v>
      </c>
      <c r="N7" s="81">
        <f t="shared" si="1"/>
        <v>11.033811275087427</v>
      </c>
      <c r="O7" s="81">
        <f t="shared" si="1"/>
        <v>11.30965655696461</v>
      </c>
      <c r="P7" s="81">
        <f t="shared" si="1"/>
        <v>11.592397970888726</v>
      </c>
      <c r="Q7" s="81">
        <f t="shared" si="1"/>
        <v>11.882207920160942</v>
      </c>
      <c r="R7" s="81">
        <f t="shared" si="1"/>
        <v>12.179263118164968</v>
      </c>
      <c r="S7" s="81">
        <f t="shared" si="1"/>
        <v>12.483744696119091</v>
      </c>
      <c r="T7" s="81">
        <f t="shared" si="1"/>
        <v>12.795838313522067</v>
      </c>
      <c r="U7" s="81">
        <f t="shared" si="1"/>
        <v>13.115734271360118</v>
      </c>
      <c r="V7" s="81">
        <f t="shared" si="1"/>
        <v>13.443627628144123</v>
      </c>
      <c r="W7" s="81">
        <f t="shared" si="1"/>
        <v>13.779718318847722</v>
      </c>
      <c r="X7" s="130"/>
    </row>
    <row r="8" spans="1:30">
      <c r="A8" s="79" t="s">
        <v>19</v>
      </c>
      <c r="B8" s="332" t="s">
        <v>381</v>
      </c>
      <c r="C8" s="81"/>
      <c r="D8" s="81">
        <f t="shared" ref="D8:W8" si="2">(0.015*$C$4*(1+esc)^(D$1-$C$1))</f>
        <v>51.71757439824961</v>
      </c>
      <c r="E8" s="81">
        <f t="shared" si="2"/>
        <v>53.010513758205853</v>
      </c>
      <c r="F8" s="81">
        <f t="shared" si="2"/>
        <v>54.335776602160998</v>
      </c>
      <c r="G8" s="81">
        <f t="shared" si="2"/>
        <v>55.69417101721502</v>
      </c>
      <c r="H8" s="81">
        <f t="shared" si="2"/>
        <v>57.086525292645391</v>
      </c>
      <c r="I8" s="81">
        <f t="shared" si="2"/>
        <v>58.513688424961515</v>
      </c>
      <c r="J8" s="81">
        <f t="shared" si="2"/>
        <v>59.976530635585561</v>
      </c>
      <c r="K8" s="81">
        <f t="shared" si="2"/>
        <v>61.475943901475191</v>
      </c>
      <c r="L8" s="81">
        <f t="shared" si="2"/>
        <v>63.012842499012059</v>
      </c>
      <c r="M8" s="81">
        <f t="shared" si="2"/>
        <v>64.588163561487363</v>
      </c>
      <c r="N8" s="81">
        <f t="shared" si="2"/>
        <v>66.202867650524553</v>
      </c>
      <c r="O8" s="81">
        <f t="shared" si="2"/>
        <v>67.857939341787656</v>
      </c>
      <c r="P8" s="81">
        <f t="shared" si="2"/>
        <v>69.554387825332341</v>
      </c>
      <c r="Q8" s="81">
        <f t="shared" si="2"/>
        <v>71.29324752096565</v>
      </c>
      <c r="R8" s="81">
        <f t="shared" si="2"/>
        <v>73.075578708989795</v>
      </c>
      <c r="S8" s="81">
        <f t="shared" si="2"/>
        <v>74.902468176714535</v>
      </c>
      <c r="T8" s="81">
        <f t="shared" si="2"/>
        <v>76.775029881132383</v>
      </c>
      <c r="U8" s="81">
        <f t="shared" si="2"/>
        <v>78.694405628160695</v>
      </c>
      <c r="V8" s="81">
        <f t="shared" si="2"/>
        <v>80.661765768864726</v>
      </c>
      <c r="W8" s="81">
        <f t="shared" si="2"/>
        <v>82.678309913086323</v>
      </c>
      <c r="X8" s="130"/>
    </row>
    <row r="9" spans="1:30">
      <c r="A9" s="199" t="s">
        <v>21</v>
      </c>
      <c r="B9" s="200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2"/>
      <c r="X9" s="130"/>
    </row>
    <row r="10" spans="1:30">
      <c r="A10" s="195" t="s">
        <v>35</v>
      </c>
      <c r="B10" s="196" t="s">
        <v>96</v>
      </c>
      <c r="C10" s="197">
        <f t="shared" ref="C10:W10" si="3">SUM(C4:C9)</f>
        <v>3363.7446763089183</v>
      </c>
      <c r="D10" s="197">
        <f t="shared" si="3"/>
        <v>66.487759442893861</v>
      </c>
      <c r="E10" s="197">
        <f t="shared" si="3"/>
        <v>68.149953428966199</v>
      </c>
      <c r="F10" s="197">
        <f t="shared" si="3"/>
        <v>69.853702264690355</v>
      </c>
      <c r="G10" s="197">
        <f t="shared" si="3"/>
        <v>71.60004482130762</v>
      </c>
      <c r="H10" s="197">
        <f t="shared" si="3"/>
        <v>129.96045658637155</v>
      </c>
      <c r="I10" s="197">
        <f t="shared" si="3"/>
        <v>75.224797090386289</v>
      </c>
      <c r="J10" s="197">
        <f t="shared" si="3"/>
        <v>77.105417017645962</v>
      </c>
      <c r="K10" s="197">
        <f t="shared" si="3"/>
        <v>79.033052443087101</v>
      </c>
      <c r="L10" s="197">
        <f t="shared" si="3"/>
        <v>81.008878754164257</v>
      </c>
      <c r="M10" s="197">
        <f>SUM(M4:M9)</f>
        <v>211.04255514265407</v>
      </c>
      <c r="N10" s="197">
        <f>SUM(N4:N9)</f>
        <v>85.109953241093834</v>
      </c>
      <c r="O10" s="197">
        <f t="shared" si="3"/>
        <v>87.237702072121166</v>
      </c>
      <c r="P10" s="197">
        <f t="shared" si="3"/>
        <v>89.418644623924195</v>
      </c>
      <c r="Q10" s="197">
        <f t="shared" si="3"/>
        <v>91.654110739522295</v>
      </c>
      <c r="R10" s="197">
        <f t="shared" si="3"/>
        <v>166.36037183291589</v>
      </c>
      <c r="S10" s="197">
        <f t="shared" si="3"/>
        <v>96.294100095710604</v>
      </c>
      <c r="T10" s="197">
        <f t="shared" si="3"/>
        <v>98.701452598103359</v>
      </c>
      <c r="U10" s="197">
        <f t="shared" si="3"/>
        <v>101.16898891305594</v>
      </c>
      <c r="V10" s="197">
        <f t="shared" si="3"/>
        <v>103.69821363588235</v>
      </c>
      <c r="W10" s="198">
        <f t="shared" si="3"/>
        <v>270.15231300581894</v>
      </c>
      <c r="X10" s="130"/>
    </row>
    <row r="11" spans="1:30">
      <c r="A11" s="74"/>
      <c r="B11" s="7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2"/>
      <c r="X11" s="130"/>
    </row>
    <row r="12" spans="1:30">
      <c r="A12" s="77">
        <v>2</v>
      </c>
      <c r="B12" s="78" t="s">
        <v>111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2"/>
      <c r="X12" s="130"/>
    </row>
    <row r="13" spans="1:30">
      <c r="A13" s="79" t="s">
        <v>8</v>
      </c>
      <c r="B13" s="80" t="s">
        <v>125</v>
      </c>
      <c r="C13" s="81">
        <f>$Q$27</f>
        <v>840.93616907722958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2"/>
      <c r="X13" s="130"/>
    </row>
    <row r="14" spans="1:30">
      <c r="A14" s="79" t="s">
        <v>11</v>
      </c>
      <c r="B14" s="80" t="s">
        <v>127</v>
      </c>
      <c r="C14" s="81">
        <f>T27</f>
        <v>504.56170144633774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  <c r="X14" s="130"/>
    </row>
    <row r="15" spans="1:30">
      <c r="A15" s="79" t="s">
        <v>13</v>
      </c>
      <c r="B15" s="80" t="s">
        <v>97</v>
      </c>
      <c r="C15" s="81"/>
      <c r="D15" s="81">
        <f t="shared" ref="D15:W15" si="4">0.001*mwh*$E$29*(1+esc)^(D$1-$C$1)</f>
        <v>51.254910930022035</v>
      </c>
      <c r="E15" s="81">
        <f t="shared" si="4"/>
        <v>52.536283703272588</v>
      </c>
      <c r="F15" s="81">
        <f t="shared" si="4"/>
        <v>53.8496907958544</v>
      </c>
      <c r="G15" s="81">
        <f t="shared" si="4"/>
        <v>55.195933065750758</v>
      </c>
      <c r="H15" s="81">
        <f t="shared" si="4"/>
        <v>56.57583139239452</v>
      </c>
      <c r="I15" s="81">
        <f t="shared" si="4"/>
        <v>57.990227177204375</v>
      </c>
      <c r="J15" s="81">
        <f t="shared" si="4"/>
        <v>59.439982856634487</v>
      </c>
      <c r="K15" s="81">
        <f t="shared" si="4"/>
        <v>60.925982428050347</v>
      </c>
      <c r="L15" s="81">
        <f t="shared" si="4"/>
        <v>62.449131988751596</v>
      </c>
      <c r="M15" s="81">
        <f t="shared" si="4"/>
        <v>64.01036028847038</v>
      </c>
      <c r="N15" s="81">
        <f t="shared" si="4"/>
        <v>65.610619295682142</v>
      </c>
      <c r="O15" s="81">
        <f t="shared" si="4"/>
        <v>67.250884778074195</v>
      </c>
      <c r="P15" s="81">
        <f t="shared" si="4"/>
        <v>68.932156897526042</v>
      </c>
      <c r="Q15" s="81">
        <f t="shared" si="4"/>
        <v>70.65546081996419</v>
      </c>
      <c r="R15" s="81">
        <f t="shared" si="4"/>
        <v>72.421847340463302</v>
      </c>
      <c r="S15" s="81">
        <f t="shared" si="4"/>
        <v>74.232393523974878</v>
      </c>
      <c r="T15" s="81">
        <f t="shared" si="4"/>
        <v>76.088203362074239</v>
      </c>
      <c r="U15" s="81">
        <f t="shared" si="4"/>
        <v>77.990408446126096</v>
      </c>
      <c r="V15" s="81">
        <f t="shared" si="4"/>
        <v>79.940168657279258</v>
      </c>
      <c r="W15" s="81">
        <f t="shared" si="4"/>
        <v>81.938672873711226</v>
      </c>
      <c r="X15" s="105"/>
    </row>
    <row r="16" spans="1:30">
      <c r="A16" s="79" t="s">
        <v>16</v>
      </c>
      <c r="B16" s="80" t="s">
        <v>98</v>
      </c>
      <c r="C16" s="81"/>
      <c r="D16" s="81">
        <f>0.001*mwh*rec*(1+esc)^(D$1-$C$1)</f>
        <v>10.250982186004405</v>
      </c>
      <c r="E16" s="81">
        <f t="shared" ref="E16:W16" si="5">0.001*mwh*rec*(1+esc)^(E$1-$C$1)</f>
        <v>10.507256740654515</v>
      </c>
      <c r="F16" s="81">
        <f t="shared" si="5"/>
        <v>10.769938159170879</v>
      </c>
      <c r="G16" s="81">
        <f t="shared" si="5"/>
        <v>11.03918661315015</v>
      </c>
      <c r="H16" s="81">
        <f t="shared" si="5"/>
        <v>11.315166278478902</v>
      </c>
      <c r="I16" s="81">
        <f t="shared" si="5"/>
        <v>11.598045435440874</v>
      </c>
      <c r="J16" s="81">
        <f t="shared" si="5"/>
        <v>11.887996571326896</v>
      </c>
      <c r="K16" s="81">
        <f t="shared" si="5"/>
        <v>12.185196485610067</v>
      </c>
      <c r="L16" s="81">
        <f t="shared" si="5"/>
        <v>12.489826397750317</v>
      </c>
      <c r="M16" s="81">
        <f t="shared" si="5"/>
        <v>12.802072057694076</v>
      </c>
      <c r="N16" s="81">
        <f t="shared" si="5"/>
        <v>13.122123859136426</v>
      </c>
      <c r="O16" s="81">
        <f t="shared" si="5"/>
        <v>13.450176955614836</v>
      </c>
      <c r="P16" s="81">
        <f t="shared" si="5"/>
        <v>13.786431379505206</v>
      </c>
      <c r="Q16" s="81">
        <f t="shared" si="5"/>
        <v>14.131092163992836</v>
      </c>
      <c r="R16" s="81">
        <f t="shared" si="5"/>
        <v>14.484369468092659</v>
      </c>
      <c r="S16" s="81">
        <f t="shared" si="5"/>
        <v>14.846478704794974</v>
      </c>
      <c r="T16" s="81">
        <f t="shared" si="5"/>
        <v>15.217640672414845</v>
      </c>
      <c r="U16" s="81">
        <f t="shared" si="5"/>
        <v>15.598081689225218</v>
      </c>
      <c r="V16" s="81">
        <f t="shared" si="5"/>
        <v>15.988033731455848</v>
      </c>
      <c r="W16" s="82">
        <f t="shared" si="5"/>
        <v>16.387734574742243</v>
      </c>
      <c r="X16" s="130"/>
    </row>
    <row r="17" spans="1:24">
      <c r="A17" s="79" t="s">
        <v>19</v>
      </c>
      <c r="B17" s="80" t="s">
        <v>117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2"/>
      <c r="X17" s="130"/>
    </row>
    <row r="18" spans="1:24">
      <c r="A18" s="79" t="s">
        <v>21</v>
      </c>
      <c r="B18" s="80" t="s">
        <v>150</v>
      </c>
      <c r="C18" s="81"/>
      <c r="D18" s="81">
        <f t="shared" ref="D18:W18" si="6">0.001*cap*12*(dem)*(1+esc)^(D$1-$C$1)</f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1">
        <f t="shared" si="6"/>
        <v>0</v>
      </c>
      <c r="P18" s="81">
        <f t="shared" si="6"/>
        <v>0</v>
      </c>
      <c r="Q18" s="81">
        <f t="shared" si="6"/>
        <v>0</v>
      </c>
      <c r="R18" s="81">
        <f t="shared" si="6"/>
        <v>0</v>
      </c>
      <c r="S18" s="81">
        <f t="shared" si="6"/>
        <v>0</v>
      </c>
      <c r="T18" s="81">
        <f t="shared" si="6"/>
        <v>0</v>
      </c>
      <c r="U18" s="81">
        <f t="shared" si="6"/>
        <v>0</v>
      </c>
      <c r="V18" s="81">
        <f t="shared" si="6"/>
        <v>0</v>
      </c>
      <c r="W18" s="82">
        <f t="shared" si="6"/>
        <v>0</v>
      </c>
      <c r="X18" s="130"/>
    </row>
    <row r="19" spans="1:24">
      <c r="A19" s="199" t="s">
        <v>35</v>
      </c>
      <c r="B19" s="356" t="s">
        <v>426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202">
        <f>IF($V$23&lt;=0,0,(1+esc)*$V$23/(dis-esc))</f>
        <v>0</v>
      </c>
      <c r="X19" s="130"/>
    </row>
    <row r="20" spans="1:24">
      <c r="A20" s="195" t="s">
        <v>36</v>
      </c>
      <c r="B20" s="196" t="s">
        <v>99</v>
      </c>
      <c r="C20" s="197">
        <f t="shared" ref="C20:V20" si="7">SUM(C13:C18)</f>
        <v>1345.4978705235674</v>
      </c>
      <c r="D20" s="197">
        <f t="shared" si="7"/>
        <v>61.505893116026442</v>
      </c>
      <c r="E20" s="197">
        <f t="shared" si="7"/>
        <v>63.0435404439271</v>
      </c>
      <c r="F20" s="197">
        <f t="shared" si="7"/>
        <v>64.619628955025277</v>
      </c>
      <c r="G20" s="197">
        <f t="shared" si="7"/>
        <v>66.235119678900901</v>
      </c>
      <c r="H20" s="197">
        <f t="shared" si="7"/>
        <v>67.890997670873418</v>
      </c>
      <c r="I20" s="197">
        <f t="shared" si="7"/>
        <v>69.588272612645255</v>
      </c>
      <c r="J20" s="197">
        <f t="shared" si="7"/>
        <v>71.327979427961381</v>
      </c>
      <c r="K20" s="197">
        <f t="shared" si="7"/>
        <v>73.11117891366041</v>
      </c>
      <c r="L20" s="197">
        <f t="shared" si="7"/>
        <v>74.938958386501909</v>
      </c>
      <c r="M20" s="197">
        <f t="shared" si="7"/>
        <v>76.812432346164456</v>
      </c>
      <c r="N20" s="197">
        <f t="shared" si="7"/>
        <v>78.732743154818564</v>
      </c>
      <c r="O20" s="197">
        <f t="shared" si="7"/>
        <v>80.701061733689031</v>
      </c>
      <c r="P20" s="197">
        <f t="shared" si="7"/>
        <v>82.718588277031245</v>
      </c>
      <c r="Q20" s="197">
        <f t="shared" si="7"/>
        <v>84.786552983957023</v>
      </c>
      <c r="R20" s="197">
        <f t="shared" si="7"/>
        <v>86.906216808555968</v>
      </c>
      <c r="S20" s="197">
        <f t="shared" si="7"/>
        <v>89.078872228769853</v>
      </c>
      <c r="T20" s="197">
        <f t="shared" si="7"/>
        <v>91.305844034489084</v>
      </c>
      <c r="U20" s="197">
        <f t="shared" si="7"/>
        <v>93.588490135351321</v>
      </c>
      <c r="V20" s="197">
        <f t="shared" si="7"/>
        <v>95.928202388735102</v>
      </c>
      <c r="W20" s="198">
        <f>SUM(W13:W19)</f>
        <v>98.326407448453466</v>
      </c>
      <c r="X20" s="130"/>
    </row>
    <row r="21" spans="1:2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  <c r="X21" s="344">
        <f>0.5*C4*(1+esc)^20</f>
        <v>2755.9436637695444</v>
      </c>
    </row>
    <row r="22" spans="1:24">
      <c r="A22" s="77">
        <v>3</v>
      </c>
      <c r="B22" s="78" t="s">
        <v>112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6"/>
      <c r="X22" s="344">
        <f>(1+esc)*V23/(dis-esc)</f>
        <v>-318.57046113303727</v>
      </c>
    </row>
    <row r="23" spans="1:24">
      <c r="A23" s="79" t="s">
        <v>8</v>
      </c>
      <c r="B23" s="80" t="s">
        <v>100</v>
      </c>
      <c r="C23" s="81">
        <f t="shared" ref="C23:W23" si="8">C20-C10</f>
        <v>-2018.2468057853509</v>
      </c>
      <c r="D23" s="81">
        <f t="shared" si="8"/>
        <v>-4.9818663268674186</v>
      </c>
      <c r="E23" s="81">
        <f t="shared" si="8"/>
        <v>-5.1064129850390998</v>
      </c>
      <c r="F23" s="81">
        <f t="shared" si="8"/>
        <v>-5.234073309665078</v>
      </c>
      <c r="G23" s="81">
        <f t="shared" si="8"/>
        <v>-5.3649251424067188</v>
      </c>
      <c r="H23" s="81">
        <f t="shared" si="8"/>
        <v>-62.069458915498132</v>
      </c>
      <c r="I23" s="81">
        <f t="shared" si="8"/>
        <v>-5.6365244777410339</v>
      </c>
      <c r="J23" s="81">
        <f t="shared" si="8"/>
        <v>-5.7774375896845811</v>
      </c>
      <c r="K23" s="81">
        <f t="shared" si="8"/>
        <v>-5.9218735294266907</v>
      </c>
      <c r="L23" s="81">
        <f t="shared" si="8"/>
        <v>-6.0699203676623483</v>
      </c>
      <c r="M23" s="81">
        <f>M20-M10</f>
        <v>-134.23012279648961</v>
      </c>
      <c r="N23" s="81">
        <f t="shared" si="8"/>
        <v>-6.3772100862752694</v>
      </c>
      <c r="O23" s="81">
        <f t="shared" si="8"/>
        <v>-6.5366403384321359</v>
      </c>
      <c r="P23" s="81">
        <f t="shared" si="8"/>
        <v>-6.7000563468929499</v>
      </c>
      <c r="Q23" s="81">
        <f t="shared" si="8"/>
        <v>-6.8675577555652723</v>
      </c>
      <c r="R23" s="81">
        <f t="shared" si="8"/>
        <v>-79.45415502435992</v>
      </c>
      <c r="S23" s="81">
        <f t="shared" si="8"/>
        <v>-7.2152278669407508</v>
      </c>
      <c r="T23" s="81">
        <f t="shared" si="8"/>
        <v>-7.3956085636142745</v>
      </c>
      <c r="U23" s="81">
        <f t="shared" si="8"/>
        <v>-7.5804987777046193</v>
      </c>
      <c r="V23" s="81">
        <f t="shared" si="8"/>
        <v>-7.7700112471472522</v>
      </c>
      <c r="W23" s="82">
        <f t="shared" si="8"/>
        <v>-171.82590555736547</v>
      </c>
      <c r="X23" s="130"/>
    </row>
    <row r="24" spans="1:24">
      <c r="A24" s="79" t="s">
        <v>11</v>
      </c>
      <c r="B24" s="80" t="s">
        <v>101</v>
      </c>
      <c r="C24" s="81">
        <f>C23</f>
        <v>-2018.2468057853509</v>
      </c>
      <c r="D24" s="81">
        <f>D23/(1+dis)^(D$1-$C$1)</f>
        <v>-4.7446345970165886</v>
      </c>
      <c r="E24" s="81">
        <f t="shared" ref="E24:W24" si="9">E23/(1+dis)^(E$1-$C$1)</f>
        <v>-4.6316671066114283</v>
      </c>
      <c r="F24" s="81">
        <f t="shared" si="9"/>
        <v>-4.5213893183587759</v>
      </c>
      <c r="G24" s="81">
        <f t="shared" si="9"/>
        <v>-4.4137371917311974</v>
      </c>
      <c r="H24" s="81">
        <f t="shared" si="9"/>
        <v>-48.633045198831759</v>
      </c>
      <c r="I24" s="81">
        <f t="shared" si="9"/>
        <v>-4.2060613488095866</v>
      </c>
      <c r="J24" s="81">
        <f t="shared" si="9"/>
        <v>-4.1059170309808009</v>
      </c>
      <c r="K24" s="81">
        <f t="shared" si="9"/>
        <v>-4.0081571016717312</v>
      </c>
      <c r="L24" s="81">
        <f t="shared" si="9"/>
        <v>-3.91272478972716</v>
      </c>
      <c r="M24" s="81">
        <f t="shared" si="9"/>
        <v>-82.405651409168584</v>
      </c>
      <c r="N24" s="81">
        <f t="shared" si="9"/>
        <v>-3.7286226595982828</v>
      </c>
      <c r="O24" s="81">
        <f t="shared" si="9"/>
        <v>-3.6398459296078394</v>
      </c>
      <c r="P24" s="81">
        <f t="shared" si="9"/>
        <v>-3.5531829312838483</v>
      </c>
      <c r="Q24" s="81">
        <f t="shared" si="9"/>
        <v>-3.468583337681852</v>
      </c>
      <c r="R24" s="81">
        <f t="shared" si="9"/>
        <v>-38.218807081087689</v>
      </c>
      <c r="S24" s="81">
        <f t="shared" si="9"/>
        <v>-3.3053790196389916</v>
      </c>
      <c r="T24" s="81">
        <f t="shared" si="9"/>
        <v>-3.2266795191713982</v>
      </c>
      <c r="U24" s="81">
        <f t="shared" si="9"/>
        <v>-3.1498538163339789</v>
      </c>
      <c r="V24" s="81">
        <f t="shared" si="9"/>
        <v>-3.0748572968974623</v>
      </c>
      <c r="W24" s="82">
        <f t="shared" si="9"/>
        <v>-64.759376689700517</v>
      </c>
      <c r="X24" s="130"/>
    </row>
    <row r="25" spans="1:24">
      <c r="A25" s="79" t="s">
        <v>13</v>
      </c>
      <c r="B25" s="80" t="s">
        <v>102</v>
      </c>
      <c r="C25" s="81">
        <f>C23</f>
        <v>-2018.2468057853509</v>
      </c>
      <c r="D25" s="81">
        <f>SUM($C24:D24)</f>
        <v>-2022.9914403823675</v>
      </c>
      <c r="E25" s="81">
        <f>SUM($C24:E24)</f>
        <v>-2027.623107488979</v>
      </c>
      <c r="F25" s="81">
        <f>SUM($C24:F24)</f>
        <v>-2032.1444968073379</v>
      </c>
      <c r="G25" s="81">
        <f>SUM($C24:G24)</f>
        <v>-2036.558233999069</v>
      </c>
      <c r="H25" s="81">
        <f>SUM($C24:H24)</f>
        <v>-2085.1912791979007</v>
      </c>
      <c r="I25" s="81">
        <f>SUM($C24:I24)</f>
        <v>-2089.3973405467104</v>
      </c>
      <c r="J25" s="81">
        <f>SUM($C24:J24)</f>
        <v>-2093.5032575776913</v>
      </c>
      <c r="K25" s="81">
        <f>SUM($C24:K24)</f>
        <v>-2097.511414679363</v>
      </c>
      <c r="L25" s="81">
        <f>SUM($C24:L24)</f>
        <v>-2101.4241394690903</v>
      </c>
      <c r="M25" s="81">
        <f>SUM($C24:M24)</f>
        <v>-2183.8297908782588</v>
      </c>
      <c r="N25" s="81">
        <f>SUM($C24:N24)</f>
        <v>-2187.5584135378572</v>
      </c>
      <c r="O25" s="81">
        <f>SUM($C24:O24)</f>
        <v>-2191.198259467465</v>
      </c>
      <c r="P25" s="81">
        <f>SUM($C24:P24)</f>
        <v>-2194.7514423987491</v>
      </c>
      <c r="Q25" s="81">
        <f>SUM($C24:Q24)</f>
        <v>-2198.2200257364311</v>
      </c>
      <c r="R25" s="81">
        <f>SUM($C24:R24)</f>
        <v>-2236.4388328175187</v>
      </c>
      <c r="S25" s="81">
        <f>SUM($C24:S24)</f>
        <v>-2239.7442118371578</v>
      </c>
      <c r="T25" s="81">
        <f>SUM($C24:T24)</f>
        <v>-2242.970891356329</v>
      </c>
      <c r="U25" s="81">
        <f>SUM($C24:U24)</f>
        <v>-2246.1207451726632</v>
      </c>
      <c r="V25" s="81">
        <f>SUM($C24:V24)</f>
        <v>-2249.1956024695605</v>
      </c>
      <c r="W25" s="82">
        <f>SUM($C24:W24)</f>
        <v>-2313.9549791592613</v>
      </c>
      <c r="X25" s="130"/>
    </row>
    <row r="26" spans="1:24">
      <c r="A26" s="74"/>
      <c r="B26" s="75"/>
      <c r="C26" s="75"/>
      <c r="D26" s="83"/>
      <c r="I26" s="75"/>
      <c r="J26" s="75"/>
      <c r="K26" s="216"/>
      <c r="L26" s="75"/>
      <c r="M26" s="75"/>
      <c r="N26" s="216"/>
      <c r="O26" s="75"/>
      <c r="P26" s="75"/>
      <c r="Q26" s="216"/>
      <c r="R26" s="75"/>
      <c r="S26" s="75"/>
      <c r="T26" s="216"/>
      <c r="U26" s="75"/>
      <c r="V26" s="75"/>
      <c r="W26" s="76"/>
      <c r="X26" s="129"/>
    </row>
    <row r="27" spans="1:24">
      <c r="A27" s="74"/>
      <c r="B27" s="84" t="s">
        <v>103</v>
      </c>
      <c r="C27" s="75"/>
      <c r="D27" s="75" t="s">
        <v>104</v>
      </c>
      <c r="E27" s="341">
        <f>'Summary - Cash'!C9</f>
        <v>2.5000000000000001E-2</v>
      </c>
      <c r="F27" s="75"/>
      <c r="G27" s="214" t="s">
        <v>105</v>
      </c>
      <c r="H27" s="341">
        <f>'Summary - Cash'!F9</f>
        <v>0.05</v>
      </c>
      <c r="I27" s="340"/>
      <c r="J27" s="214" t="s">
        <v>106</v>
      </c>
      <c r="K27" s="218">
        <f>Energy!J8</f>
        <v>400.03832920992807</v>
      </c>
      <c r="L27" s="215"/>
      <c r="M27" s="220" t="s">
        <v>153</v>
      </c>
      <c r="N27" s="221">
        <f>Energy!I8</f>
        <v>111.64708753140407</v>
      </c>
      <c r="O27" s="215"/>
      <c r="P27" s="219" t="s">
        <v>125</v>
      </c>
      <c r="Q27" s="218">
        <f>'Summary - Cash'!$B18*'Summary - Cash'!$F18</f>
        <v>840.93616907722958</v>
      </c>
      <c r="R27" s="215"/>
      <c r="S27" s="219" t="s">
        <v>126</v>
      </c>
      <c r="T27" s="218">
        <f>'Summary - Cash'!$B18*'Summary - Cash'!$G18</f>
        <v>504.56170144633774</v>
      </c>
      <c r="U27" s="215"/>
      <c r="V27" s="75"/>
      <c r="W27" s="76"/>
      <c r="X27" s="129"/>
    </row>
    <row r="28" spans="1:24">
      <c r="A28" s="74"/>
      <c r="B28" s="75"/>
      <c r="C28" s="75"/>
      <c r="D28" s="75"/>
      <c r="F28" s="75"/>
      <c r="G28" s="75"/>
      <c r="H28" s="204"/>
      <c r="I28" s="75"/>
      <c r="J28" s="75"/>
      <c r="L28" s="75"/>
      <c r="M28" s="75"/>
      <c r="N28" s="204"/>
      <c r="O28" s="75"/>
      <c r="P28" s="75"/>
      <c r="Q28" s="204"/>
      <c r="R28" s="75"/>
      <c r="S28" s="75"/>
      <c r="T28" s="204"/>
      <c r="U28" s="75"/>
      <c r="V28" s="75"/>
      <c r="W28" s="76"/>
      <c r="X28" s="129"/>
    </row>
    <row r="29" spans="1:24">
      <c r="A29" s="74"/>
      <c r="B29" s="75"/>
      <c r="C29" s="75"/>
      <c r="D29" s="223" t="s">
        <v>107</v>
      </c>
      <c r="E29" s="218">
        <f>'Summary - Cash'!H14</f>
        <v>125</v>
      </c>
      <c r="F29" s="215" t="s">
        <v>119</v>
      </c>
      <c r="G29" s="336" t="s">
        <v>382</v>
      </c>
      <c r="H29" s="97"/>
      <c r="I29" s="85" t="s">
        <v>152</v>
      </c>
      <c r="J29" s="219" t="s">
        <v>108</v>
      </c>
      <c r="K29" s="218">
        <f>'Summary - Cash'!C10</f>
        <v>25</v>
      </c>
      <c r="L29" s="215" t="s">
        <v>119</v>
      </c>
      <c r="M29" s="86" t="s">
        <v>120</v>
      </c>
      <c r="N29" s="231">
        <v>0</v>
      </c>
      <c r="O29" s="88" t="s">
        <v>109</v>
      </c>
      <c r="P29" s="89" t="s">
        <v>118</v>
      </c>
      <c r="Q29" s="87"/>
      <c r="R29" s="75" t="s">
        <v>119</v>
      </c>
      <c r="S29" s="75"/>
      <c r="T29" s="75"/>
      <c r="U29" s="75"/>
      <c r="V29" s="75"/>
      <c r="W29" s="76"/>
      <c r="X29" s="129"/>
    </row>
    <row r="30" spans="1:24">
      <c r="A30" s="74"/>
      <c r="B30" s="75"/>
      <c r="C30" s="75"/>
      <c r="D30" s="75"/>
      <c r="E30" s="204"/>
      <c r="F30" s="75"/>
      <c r="G30" s="75"/>
      <c r="H30" s="75"/>
      <c r="I30" s="75"/>
      <c r="J30" s="75"/>
      <c r="K30" s="204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  <c r="X30" s="129"/>
    </row>
    <row r="31" spans="1:24">
      <c r="A31" s="94"/>
      <c r="B31" s="98" t="s">
        <v>121</v>
      </c>
      <c r="C31" s="95"/>
      <c r="D31" s="95"/>
      <c r="E31" s="95" t="s">
        <v>122</v>
      </c>
      <c r="F31" s="95"/>
      <c r="G31" s="95"/>
      <c r="H31" s="99" t="e">
        <f>IRR($C23:$W23)</f>
        <v>#DIV/0!</v>
      </c>
      <c r="I31" s="100"/>
      <c r="J31" s="100" t="s">
        <v>102</v>
      </c>
      <c r="K31" s="101">
        <f>$W25</f>
        <v>-2313.9549791592613</v>
      </c>
      <c r="L31" s="100"/>
      <c r="M31" s="100"/>
      <c r="N31" s="100"/>
      <c r="O31" s="100"/>
      <c r="P31" s="102" t="s">
        <v>123</v>
      </c>
      <c r="Q31" s="103">
        <f>MATCH(1,D25:W25)</f>
        <v>20</v>
      </c>
      <c r="R31" s="95"/>
      <c r="S31" s="95"/>
      <c r="T31" s="95"/>
      <c r="U31" s="95"/>
      <c r="V31" s="95"/>
      <c r="W31" s="96"/>
      <c r="X31" s="131"/>
    </row>
    <row r="33" spans="1:13">
      <c r="B33" s="2" t="s">
        <v>113</v>
      </c>
      <c r="D33" s="3"/>
      <c r="E33" s="3"/>
      <c r="F33" s="3"/>
      <c r="G33" s="3"/>
      <c r="H33" s="3"/>
    </row>
    <row r="34" spans="1:13">
      <c r="A34">
        <v>1</v>
      </c>
      <c r="B34" t="s">
        <v>369</v>
      </c>
      <c r="D34" s="4"/>
    </row>
    <row r="35" spans="1:13">
      <c r="A35">
        <v>2</v>
      </c>
      <c r="B35" t="s">
        <v>131</v>
      </c>
      <c r="L35" s="224"/>
      <c r="M35" s="138" t="s">
        <v>307</v>
      </c>
    </row>
    <row r="36" spans="1:13">
      <c r="A36">
        <v>3</v>
      </c>
      <c r="B36" s="138" t="s">
        <v>383</v>
      </c>
      <c r="L36" s="227"/>
      <c r="M36" s="138" t="s">
        <v>308</v>
      </c>
    </row>
    <row r="37" spans="1:13">
      <c r="A37">
        <v>4</v>
      </c>
      <c r="B37" s="138" t="s">
        <v>393</v>
      </c>
    </row>
    <row r="38" spans="1:13">
      <c r="A38">
        <v>5</v>
      </c>
      <c r="B38" s="138" t="s">
        <v>425</v>
      </c>
    </row>
    <row r="41" spans="1:13">
      <c r="B41" s="6"/>
    </row>
  </sheetData>
  <sheetProtection selectLockedCells="1"/>
  <phoneticPr fontId="5" type="noConversion"/>
  <printOptions horizontalCentered="1"/>
  <pageMargins left="1" right="1" top="2.25" bottom="1" header="0.5" footer="0.5"/>
  <pageSetup paperSize="3" scale="80" orientation="landscape" r:id="rId1"/>
  <headerFooter alignWithMargins="0">
    <oddHeader>&amp;L&amp;"Arial,Bold Italic"&amp;11Privileged and Confidential&amp;C&amp;"Arial,Bold Italic"&amp;11Ten Mile River Feasibility Study
Phase 1
&amp;R&amp;"Arial,Bold Italic"&amp;11&amp;A</oddHeader>
    <oddFooter>&amp;L&amp;G&amp;C&amp;"Arial,Bold Italic"For Planning Purposes Only&amp;R&amp;"Arial,Bold Italic"&amp;F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6"/>
  </sheetPr>
  <dimension ref="A1:AD41"/>
  <sheetViews>
    <sheetView view="pageBreakPreview" zoomScale="70" zoomScaleNormal="75" zoomScaleSheetLayoutView="70" workbookViewId="0">
      <selection activeCell="H11" sqref="H11"/>
    </sheetView>
  </sheetViews>
  <sheetFormatPr defaultRowHeight="12.75"/>
  <cols>
    <col min="1" max="1" width="4.5703125" customWidth="1"/>
    <col min="2" max="2" width="30.85546875" customWidth="1"/>
    <col min="3" max="3" width="9.28515625" bestFit="1" customWidth="1"/>
    <col min="4" max="4" width="9.42578125" bestFit="1" customWidth="1"/>
    <col min="5" max="7" width="9.28515625" bestFit="1" customWidth="1"/>
    <col min="8" max="8" width="9.85546875" bestFit="1" customWidth="1"/>
    <col min="9" max="9" width="9.28515625" bestFit="1" customWidth="1"/>
    <col min="10" max="10" width="12.28515625" customWidth="1"/>
    <col min="11" max="11" width="12.42578125" customWidth="1"/>
    <col min="12" max="23" width="9.28515625" bestFit="1" customWidth="1"/>
    <col min="24" max="24" width="25.28515625" style="112" customWidth="1"/>
  </cols>
  <sheetData>
    <row r="1" spans="1:30" ht="26.25" thickBot="1">
      <c r="A1" s="228" t="s">
        <v>0</v>
      </c>
      <c r="B1" s="229" t="s">
        <v>92</v>
      </c>
      <c r="C1" s="229">
        <v>0</v>
      </c>
      <c r="D1" s="229">
        <v>1</v>
      </c>
      <c r="E1" s="229">
        <v>2</v>
      </c>
      <c r="F1" s="229">
        <v>3</v>
      </c>
      <c r="G1" s="229">
        <v>4</v>
      </c>
      <c r="H1" s="229">
        <v>5</v>
      </c>
      <c r="I1" s="229">
        <v>6</v>
      </c>
      <c r="J1" s="229">
        <v>7</v>
      </c>
      <c r="K1" s="229">
        <v>8</v>
      </c>
      <c r="L1" s="229">
        <v>9</v>
      </c>
      <c r="M1" s="229">
        <v>10</v>
      </c>
      <c r="N1" s="229">
        <v>11</v>
      </c>
      <c r="O1" s="229">
        <v>12</v>
      </c>
      <c r="P1" s="229">
        <v>13</v>
      </c>
      <c r="Q1" s="229">
        <v>14</v>
      </c>
      <c r="R1" s="229">
        <v>15</v>
      </c>
      <c r="S1" s="229">
        <v>16</v>
      </c>
      <c r="T1" s="229">
        <v>17</v>
      </c>
      <c r="U1" s="229">
        <v>18</v>
      </c>
      <c r="V1" s="229">
        <v>19</v>
      </c>
      <c r="W1" s="230">
        <v>20</v>
      </c>
      <c r="X1" s="120" t="s">
        <v>199</v>
      </c>
      <c r="AA1" s="1"/>
      <c r="AB1" s="1"/>
      <c r="AC1" s="1"/>
      <c r="AD1" s="1"/>
    </row>
    <row r="2" spans="1:30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6"/>
      <c r="X2" s="129"/>
    </row>
    <row r="3" spans="1:30">
      <c r="A3" s="77">
        <v>1</v>
      </c>
      <c r="B3" s="78" t="s">
        <v>110</v>
      </c>
      <c r="C3" s="216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129"/>
    </row>
    <row r="4" spans="1:30">
      <c r="A4" s="79" t="s">
        <v>8</v>
      </c>
      <c r="B4" s="225" t="s">
        <v>93</v>
      </c>
      <c r="C4" s="227">
        <f>'Costs E'!F137</f>
        <v>3325.6498013789601</v>
      </c>
      <c r="D4" s="226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130"/>
    </row>
    <row r="5" spans="1:30" ht="14.25" customHeight="1">
      <c r="A5" s="79" t="s">
        <v>11</v>
      </c>
      <c r="B5" s="80" t="s">
        <v>94</v>
      </c>
      <c r="C5" s="197"/>
      <c r="D5" s="81">
        <f t="shared" ref="D5:W5" si="0">mwh*(0.015)*(1+esc)^(D$1-$C$1)</f>
        <v>8.0592185658400801</v>
      </c>
      <c r="E5" s="81">
        <f t="shared" si="0"/>
        <v>8.2606990299860836</v>
      </c>
      <c r="F5" s="81">
        <f t="shared" si="0"/>
        <v>8.4672165057357347</v>
      </c>
      <c r="G5" s="81">
        <f t="shared" si="0"/>
        <v>8.6788969183791274</v>
      </c>
      <c r="H5" s="81">
        <f t="shared" si="0"/>
        <v>8.8958693413386047</v>
      </c>
      <c r="I5" s="81">
        <f t="shared" si="0"/>
        <v>9.1182660748720696</v>
      </c>
      <c r="J5" s="81">
        <f t="shared" si="0"/>
        <v>9.3462227267438713</v>
      </c>
      <c r="K5" s="81">
        <f t="shared" si="0"/>
        <v>9.5798782949124668</v>
      </c>
      <c r="L5" s="81">
        <f t="shared" si="0"/>
        <v>9.819375252285278</v>
      </c>
      <c r="M5" s="81">
        <f t="shared" si="0"/>
        <v>10.064859633592409</v>
      </c>
      <c r="N5" s="81">
        <f t="shared" si="0"/>
        <v>10.316481124432219</v>
      </c>
      <c r="O5" s="81">
        <f t="shared" si="0"/>
        <v>10.574393152543024</v>
      </c>
      <c r="P5" s="81">
        <f t="shared" si="0"/>
        <v>10.838752981356599</v>
      </c>
      <c r="Q5" s="81">
        <f t="shared" si="0"/>
        <v>11.109721805890512</v>
      </c>
      <c r="R5" s="81">
        <f t="shared" si="0"/>
        <v>11.387464851037777</v>
      </c>
      <c r="S5" s="81">
        <f t="shared" si="0"/>
        <v>11.67215147231372</v>
      </c>
      <c r="T5" s="81">
        <f t="shared" si="0"/>
        <v>11.963955259121562</v>
      </c>
      <c r="U5" s="81">
        <f t="shared" si="0"/>
        <v>12.263054140599602</v>
      </c>
      <c r="V5" s="81">
        <f t="shared" si="0"/>
        <v>12.569630494114591</v>
      </c>
      <c r="W5" s="81">
        <f t="shared" si="0"/>
        <v>12.883871256467454</v>
      </c>
      <c r="X5" s="130"/>
    </row>
    <row r="6" spans="1:30">
      <c r="A6" s="79" t="s">
        <v>13</v>
      </c>
      <c r="B6" s="80" t="s">
        <v>95</v>
      </c>
      <c r="C6" s="81"/>
      <c r="D6" s="81"/>
      <c r="E6" s="81"/>
      <c r="F6" s="81"/>
      <c r="G6" s="81"/>
      <c r="H6" s="81">
        <f>50*(1+esc)^(H1-$C1)</f>
        <v>56.570410644531236</v>
      </c>
      <c r="I6" s="81"/>
      <c r="J6" s="81"/>
      <c r="K6" s="81"/>
      <c r="L6" s="81"/>
      <c r="M6" s="81">
        <f>100*(1+esc)^(M1-$C1)</f>
        <v>128.00845441963571</v>
      </c>
      <c r="N6" s="81"/>
      <c r="O6" s="81"/>
      <c r="P6" s="81"/>
      <c r="Q6" s="81"/>
      <c r="R6" s="81">
        <f>50*(1+esc)^(R1-$C1)</f>
        <v>72.414908324905525</v>
      </c>
      <c r="S6" s="81"/>
      <c r="T6" s="81"/>
      <c r="U6" s="81"/>
      <c r="V6" s="81"/>
      <c r="W6" s="82">
        <f>100*(1+esc)^(W1-$C1)</f>
        <v>163.86164402903955</v>
      </c>
      <c r="X6" s="130"/>
    </row>
    <row r="7" spans="1:30">
      <c r="A7" s="79" t="s">
        <v>16</v>
      </c>
      <c r="B7" s="332" t="s">
        <v>368</v>
      </c>
      <c r="C7" s="81"/>
      <c r="D7" s="81">
        <f t="shared" ref="D7:W7" si="1">(0.0025*$C$4*(1+esc)^(D$1-$C$1))</f>
        <v>8.5219776160335847</v>
      </c>
      <c r="E7" s="81">
        <f t="shared" si="1"/>
        <v>8.7350270564344239</v>
      </c>
      <c r="F7" s="81">
        <f t="shared" si="1"/>
        <v>8.9534027328452854</v>
      </c>
      <c r="G7" s="81">
        <f t="shared" si="1"/>
        <v>9.1772378011664166</v>
      </c>
      <c r="H7" s="81">
        <f t="shared" si="1"/>
        <v>9.4066687461955762</v>
      </c>
      <c r="I7" s="81">
        <f t="shared" si="1"/>
        <v>9.6418354648504643</v>
      </c>
      <c r="J7" s="81">
        <f t="shared" si="1"/>
        <v>9.8828813514717258</v>
      </c>
      <c r="K7" s="81">
        <f t="shared" si="1"/>
        <v>10.129953385258519</v>
      </c>
      <c r="L7" s="81">
        <f t="shared" si="1"/>
        <v>10.383202219889981</v>
      </c>
      <c r="M7" s="81">
        <f t="shared" si="1"/>
        <v>10.64278227538723</v>
      </c>
      <c r="N7" s="81">
        <f t="shared" si="1"/>
        <v>10.90885183227191</v>
      </c>
      <c r="O7" s="81">
        <f t="shared" si="1"/>
        <v>11.181573128078707</v>
      </c>
      <c r="P7" s="81">
        <f t="shared" si="1"/>
        <v>11.461112456280674</v>
      </c>
      <c r="Q7" s="81">
        <f t="shared" si="1"/>
        <v>11.747640267687689</v>
      </c>
      <c r="R7" s="81">
        <f t="shared" si="1"/>
        <v>12.041331274379884</v>
      </c>
      <c r="S7" s="81">
        <f t="shared" si="1"/>
        <v>12.34236455623938</v>
      </c>
      <c r="T7" s="81">
        <f t="shared" si="1"/>
        <v>12.650923670145362</v>
      </c>
      <c r="U7" s="81">
        <f t="shared" si="1"/>
        <v>12.967196761898997</v>
      </c>
      <c r="V7" s="81">
        <f t="shared" si="1"/>
        <v>13.291376680946472</v>
      </c>
      <c r="W7" s="81">
        <f t="shared" si="1"/>
        <v>13.623661097970132</v>
      </c>
      <c r="X7" s="130"/>
    </row>
    <row r="8" spans="1:30">
      <c r="A8" s="79" t="s">
        <v>19</v>
      </c>
      <c r="B8" s="332" t="s">
        <v>381</v>
      </c>
      <c r="C8" s="81"/>
      <c r="D8" s="81">
        <f t="shared" ref="D8:W8" si="2">(0.015*$C$4*(1+esc)^(D$1-$C$1))</f>
        <v>51.131865696201508</v>
      </c>
      <c r="E8" s="81">
        <f t="shared" si="2"/>
        <v>52.410162338606547</v>
      </c>
      <c r="F8" s="81">
        <f t="shared" si="2"/>
        <v>53.720416397071709</v>
      </c>
      <c r="G8" s="81">
        <f t="shared" si="2"/>
        <v>55.063426806998493</v>
      </c>
      <c r="H8" s="81">
        <f t="shared" si="2"/>
        <v>56.440012477173454</v>
      </c>
      <c r="I8" s="81">
        <f t="shared" si="2"/>
        <v>57.851012789102782</v>
      </c>
      <c r="J8" s="81">
        <f t="shared" si="2"/>
        <v>59.297288108830358</v>
      </c>
      <c r="K8" s="81">
        <f t="shared" si="2"/>
        <v>60.77972031155111</v>
      </c>
      <c r="L8" s="81">
        <f t="shared" si="2"/>
        <v>62.299213319339877</v>
      </c>
      <c r="M8" s="81">
        <f t="shared" si="2"/>
        <v>63.856693652323372</v>
      </c>
      <c r="N8" s="81">
        <f t="shared" si="2"/>
        <v>65.453110993631455</v>
      </c>
      <c r="O8" s="81">
        <f t="shared" si="2"/>
        <v>67.089438768472235</v>
      </c>
      <c r="P8" s="81">
        <f t="shared" si="2"/>
        <v>68.766674737684042</v>
      </c>
      <c r="Q8" s="81">
        <f t="shared" si="2"/>
        <v>70.485841606126129</v>
      </c>
      <c r="R8" s="81">
        <f t="shared" si="2"/>
        <v>72.247987646279299</v>
      </c>
      <c r="S8" s="81">
        <f t="shared" si="2"/>
        <v>74.054187337436275</v>
      </c>
      <c r="T8" s="81">
        <f t="shared" si="2"/>
        <v>75.905542020872176</v>
      </c>
      <c r="U8" s="81">
        <f t="shared" si="2"/>
        <v>77.80318057139398</v>
      </c>
      <c r="V8" s="81">
        <f t="shared" si="2"/>
        <v>79.748260085678822</v>
      </c>
      <c r="W8" s="81">
        <f t="shared" si="2"/>
        <v>81.741966587820784</v>
      </c>
      <c r="X8" s="130"/>
    </row>
    <row r="9" spans="1:30">
      <c r="A9" s="199" t="s">
        <v>21</v>
      </c>
      <c r="B9" s="200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2"/>
      <c r="X9" s="130"/>
    </row>
    <row r="10" spans="1:30">
      <c r="A10" s="195" t="s">
        <v>35</v>
      </c>
      <c r="B10" s="196" t="s">
        <v>96</v>
      </c>
      <c r="C10" s="197">
        <f t="shared" ref="C10:W10" si="3">SUM(C4:C9)</f>
        <v>3325.6498013789601</v>
      </c>
      <c r="D10" s="197">
        <f t="shared" si="3"/>
        <v>67.713061878075166</v>
      </c>
      <c r="E10" s="197">
        <f t="shared" si="3"/>
        <v>69.405888425027058</v>
      </c>
      <c r="F10" s="197">
        <f t="shared" si="3"/>
        <v>71.141035635652727</v>
      </c>
      <c r="G10" s="197">
        <f t="shared" si="3"/>
        <v>72.919561526544044</v>
      </c>
      <c r="H10" s="197">
        <f t="shared" si="3"/>
        <v>131.31296120923889</v>
      </c>
      <c r="I10" s="197">
        <f t="shared" si="3"/>
        <v>76.611114328825323</v>
      </c>
      <c r="J10" s="197">
        <f t="shared" si="3"/>
        <v>78.526392187045957</v>
      </c>
      <c r="K10" s="197">
        <f t="shared" si="3"/>
        <v>80.489551991722095</v>
      </c>
      <c r="L10" s="197">
        <f t="shared" si="3"/>
        <v>82.501790791515134</v>
      </c>
      <c r="M10" s="197">
        <f>SUM(M4:M9)</f>
        <v>212.57278998093872</v>
      </c>
      <c r="N10" s="197">
        <f>SUM(N4:N9)</f>
        <v>86.678443950335577</v>
      </c>
      <c r="O10" s="197">
        <f t="shared" si="3"/>
        <v>88.845405049093969</v>
      </c>
      <c r="P10" s="197">
        <f t="shared" si="3"/>
        <v>91.066540175321308</v>
      </c>
      <c r="Q10" s="197">
        <f t="shared" si="3"/>
        <v>93.343203679704331</v>
      </c>
      <c r="R10" s="197">
        <f t="shared" si="3"/>
        <v>168.09169209660249</v>
      </c>
      <c r="S10" s="197">
        <f t="shared" si="3"/>
        <v>98.068703365989379</v>
      </c>
      <c r="T10" s="197">
        <f t="shared" si="3"/>
        <v>100.5204209501391</v>
      </c>
      <c r="U10" s="197">
        <f t="shared" si="3"/>
        <v>103.03343147389258</v>
      </c>
      <c r="V10" s="197">
        <f t="shared" si="3"/>
        <v>105.60926726073988</v>
      </c>
      <c r="W10" s="198">
        <f t="shared" si="3"/>
        <v>272.11114297129791</v>
      </c>
      <c r="X10" s="130"/>
    </row>
    <row r="11" spans="1:30">
      <c r="A11" s="74"/>
      <c r="B11" s="7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2"/>
      <c r="X11" s="130"/>
    </row>
    <row r="12" spans="1:30">
      <c r="A12" s="77">
        <v>2</v>
      </c>
      <c r="B12" s="78" t="s">
        <v>111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2"/>
      <c r="X12" s="130"/>
    </row>
    <row r="13" spans="1:30">
      <c r="A13" s="79" t="s">
        <v>8</v>
      </c>
      <c r="B13" s="80" t="s">
        <v>125</v>
      </c>
      <c r="C13" s="81">
        <f>$Q$27</f>
        <v>831.41245034474002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2"/>
      <c r="X13" s="130"/>
    </row>
    <row r="14" spans="1:30">
      <c r="A14" s="79" t="s">
        <v>11</v>
      </c>
      <c r="B14" s="80" t="s">
        <v>127</v>
      </c>
      <c r="C14" s="81">
        <f>T27</f>
        <v>498.84747020684398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  <c r="X14" s="130"/>
    </row>
    <row r="15" spans="1:30">
      <c r="A15" s="79" t="s">
        <v>13</v>
      </c>
      <c r="B15" s="80" t="s">
        <v>97</v>
      </c>
      <c r="C15" s="81"/>
      <c r="D15" s="81">
        <f t="shared" ref="D15:W15" si="4">0.001*mwh*$E$29*(1+esc)^(D$1-$C$1)</f>
        <v>67.160154715334002</v>
      </c>
      <c r="E15" s="81">
        <f t="shared" si="4"/>
        <v>68.839158583217355</v>
      </c>
      <c r="F15" s="81">
        <f t="shared" si="4"/>
        <v>70.560137547797794</v>
      </c>
      <c r="G15" s="81">
        <f t="shared" si="4"/>
        <v>72.324140986492722</v>
      </c>
      <c r="H15" s="81">
        <f t="shared" si="4"/>
        <v>74.132244511155037</v>
      </c>
      <c r="I15" s="81">
        <f t="shared" si="4"/>
        <v>75.985550623933904</v>
      </c>
      <c r="J15" s="81">
        <f t="shared" si="4"/>
        <v>77.885189389532258</v>
      </c>
      <c r="K15" s="81">
        <f t="shared" si="4"/>
        <v>79.832319124270555</v>
      </c>
      <c r="L15" s="81">
        <f t="shared" si="4"/>
        <v>81.828127102377309</v>
      </c>
      <c r="M15" s="81">
        <f t="shared" si="4"/>
        <v>83.87383027993674</v>
      </c>
      <c r="N15" s="81">
        <f t="shared" si="4"/>
        <v>85.97067603693516</v>
      </c>
      <c r="O15" s="81">
        <f t="shared" si="4"/>
        <v>88.119942937858525</v>
      </c>
      <c r="P15" s="81">
        <f t="shared" si="4"/>
        <v>90.32294151130499</v>
      </c>
      <c r="Q15" s="81">
        <f t="shared" si="4"/>
        <v>92.581015049087611</v>
      </c>
      <c r="R15" s="81">
        <f t="shared" si="4"/>
        <v>94.895540425314806</v>
      </c>
      <c r="S15" s="81">
        <f t="shared" si="4"/>
        <v>97.267928935947666</v>
      </c>
      <c r="T15" s="81">
        <f t="shared" si="4"/>
        <v>99.699627159346349</v>
      </c>
      <c r="U15" s="81">
        <f t="shared" si="4"/>
        <v>102.19211783833002</v>
      </c>
      <c r="V15" s="81">
        <f t="shared" si="4"/>
        <v>104.74692078428826</v>
      </c>
      <c r="W15" s="81">
        <f t="shared" si="4"/>
        <v>107.36559380389545</v>
      </c>
      <c r="X15" s="105"/>
    </row>
    <row r="16" spans="1:30">
      <c r="A16" s="79" t="s">
        <v>16</v>
      </c>
      <c r="B16" s="80" t="s">
        <v>98</v>
      </c>
      <c r="C16" s="81"/>
      <c r="D16" s="81">
        <f>0.001*mwh*rec*(1+esc)^(D$1-$C$1)</f>
        <v>13.432030943066801</v>
      </c>
      <c r="E16" s="81">
        <f t="shared" ref="E16:W16" si="5">0.001*mwh*rec*(1+esc)^(E$1-$C$1)</f>
        <v>13.767831716643471</v>
      </c>
      <c r="F16" s="81">
        <f t="shared" si="5"/>
        <v>14.112027509559557</v>
      </c>
      <c r="G16" s="81">
        <f t="shared" si="5"/>
        <v>14.464828197298544</v>
      </c>
      <c r="H16" s="81">
        <f t="shared" si="5"/>
        <v>14.826448902231007</v>
      </c>
      <c r="I16" s="81">
        <f t="shared" si="5"/>
        <v>15.19711012478678</v>
      </c>
      <c r="J16" s="81">
        <f t="shared" si="5"/>
        <v>15.57703787790645</v>
      </c>
      <c r="K16" s="81">
        <f t="shared" si="5"/>
        <v>15.966463824854111</v>
      </c>
      <c r="L16" s="81">
        <f t="shared" si="5"/>
        <v>16.36562542047546</v>
      </c>
      <c r="M16" s="81">
        <f t="shared" si="5"/>
        <v>16.774766055987346</v>
      </c>
      <c r="N16" s="81">
        <f t="shared" si="5"/>
        <v>17.194135207387031</v>
      </c>
      <c r="O16" s="81">
        <f t="shared" si="5"/>
        <v>17.623988587571706</v>
      </c>
      <c r="P16" s="81">
        <f t="shared" si="5"/>
        <v>18.064588302260997</v>
      </c>
      <c r="Q16" s="81">
        <f t="shared" si="5"/>
        <v>18.51620300981752</v>
      </c>
      <c r="R16" s="81">
        <f t="shared" si="5"/>
        <v>18.979108085062961</v>
      </c>
      <c r="S16" s="81">
        <f t="shared" si="5"/>
        <v>19.453585787189532</v>
      </c>
      <c r="T16" s="81">
        <f t="shared" si="5"/>
        <v>19.93992543186927</v>
      </c>
      <c r="U16" s="81">
        <f t="shared" si="5"/>
        <v>20.438423567666003</v>
      </c>
      <c r="V16" s="81">
        <f t="shared" si="5"/>
        <v>20.949384156857651</v>
      </c>
      <c r="W16" s="82">
        <f t="shared" si="5"/>
        <v>21.473118760779091</v>
      </c>
      <c r="X16" s="130"/>
    </row>
    <row r="17" spans="1:24">
      <c r="A17" s="79" t="s">
        <v>19</v>
      </c>
      <c r="B17" s="80" t="s">
        <v>117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2"/>
      <c r="X17" s="130"/>
    </row>
    <row r="18" spans="1:24">
      <c r="A18" s="79" t="s">
        <v>21</v>
      </c>
      <c r="B18" s="80" t="s">
        <v>150</v>
      </c>
      <c r="C18" s="81"/>
      <c r="D18" s="81">
        <f t="shared" ref="D18:W18" si="6">0.001*cap*12*(dem)*(1+esc)^(D$1-$C$1)</f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1">
        <f t="shared" si="6"/>
        <v>0</v>
      </c>
      <c r="P18" s="81">
        <f t="shared" si="6"/>
        <v>0</v>
      </c>
      <c r="Q18" s="81">
        <f t="shared" si="6"/>
        <v>0</v>
      </c>
      <c r="R18" s="81">
        <f t="shared" si="6"/>
        <v>0</v>
      </c>
      <c r="S18" s="81">
        <f t="shared" si="6"/>
        <v>0</v>
      </c>
      <c r="T18" s="81">
        <f t="shared" si="6"/>
        <v>0</v>
      </c>
      <c r="U18" s="81">
        <f t="shared" si="6"/>
        <v>0</v>
      </c>
      <c r="V18" s="81">
        <f t="shared" si="6"/>
        <v>0</v>
      </c>
      <c r="W18" s="82">
        <f t="shared" si="6"/>
        <v>0</v>
      </c>
      <c r="X18" s="130"/>
    </row>
    <row r="19" spans="1:24">
      <c r="A19" s="199" t="s">
        <v>35</v>
      </c>
      <c r="B19" s="356" t="s">
        <v>426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202">
        <f>IF($V$23&lt;=0,0,(1+esc)*$V$23/(dis-esc))</f>
        <v>823.56854489664693</v>
      </c>
      <c r="X19" s="130"/>
    </row>
    <row r="20" spans="1:24">
      <c r="A20" s="195" t="s">
        <v>36</v>
      </c>
      <c r="B20" s="196" t="s">
        <v>99</v>
      </c>
      <c r="C20" s="197">
        <f t="shared" ref="C20:V20" si="7">SUM(C13:C18)</f>
        <v>1330.2599205515839</v>
      </c>
      <c r="D20" s="197">
        <f t="shared" si="7"/>
        <v>80.592185658400808</v>
      </c>
      <c r="E20" s="197">
        <f t="shared" si="7"/>
        <v>82.606990299860826</v>
      </c>
      <c r="F20" s="197">
        <f t="shared" si="7"/>
        <v>84.672165057357347</v>
      </c>
      <c r="G20" s="197">
        <f t="shared" si="7"/>
        <v>86.788969183791266</v>
      </c>
      <c r="H20" s="197">
        <f t="shared" si="7"/>
        <v>88.958693413386044</v>
      </c>
      <c r="I20" s="197">
        <f t="shared" si="7"/>
        <v>91.182660748720679</v>
      </c>
      <c r="J20" s="197">
        <f t="shared" si="7"/>
        <v>93.462227267438706</v>
      </c>
      <c r="K20" s="197">
        <f t="shared" si="7"/>
        <v>95.798782949124671</v>
      </c>
      <c r="L20" s="197">
        <f t="shared" si="7"/>
        <v>98.193752522852776</v>
      </c>
      <c r="M20" s="197">
        <f t="shared" si="7"/>
        <v>100.64859633592408</v>
      </c>
      <c r="N20" s="197">
        <f t="shared" si="7"/>
        <v>103.16481124432219</v>
      </c>
      <c r="O20" s="197">
        <f t="shared" si="7"/>
        <v>105.74393152543023</v>
      </c>
      <c r="P20" s="197">
        <f t="shared" si="7"/>
        <v>108.38752981356599</v>
      </c>
      <c r="Q20" s="197">
        <f t="shared" si="7"/>
        <v>111.09721805890513</v>
      </c>
      <c r="R20" s="197">
        <f t="shared" si="7"/>
        <v>113.87464851037777</v>
      </c>
      <c r="S20" s="197">
        <f t="shared" si="7"/>
        <v>116.7215147231372</v>
      </c>
      <c r="T20" s="197">
        <f t="shared" si="7"/>
        <v>119.63955259121562</v>
      </c>
      <c r="U20" s="197">
        <f t="shared" si="7"/>
        <v>122.63054140599603</v>
      </c>
      <c r="V20" s="197">
        <f t="shared" si="7"/>
        <v>125.69630494114591</v>
      </c>
      <c r="W20" s="198">
        <f>SUM(W13:W19)</f>
        <v>952.40725746132148</v>
      </c>
      <c r="X20" s="130"/>
    </row>
    <row r="21" spans="1:2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  <c r="X21" s="344">
        <f>0.5*C4*(1+esc)^20</f>
        <v>2724.7322195940264</v>
      </c>
    </row>
    <row r="22" spans="1:24">
      <c r="A22" s="77">
        <v>3</v>
      </c>
      <c r="B22" s="78" t="s">
        <v>112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6"/>
      <c r="X22" s="344">
        <f>(1+esc)*V23/(dis-esc)</f>
        <v>823.56854489664693</v>
      </c>
    </row>
    <row r="23" spans="1:24">
      <c r="A23" s="79" t="s">
        <v>8</v>
      </c>
      <c r="B23" s="80" t="s">
        <v>100</v>
      </c>
      <c r="C23" s="81">
        <f t="shared" ref="C23:W23" si="8">C20-C10</f>
        <v>-1995.3898808273761</v>
      </c>
      <c r="D23" s="81">
        <f t="shared" si="8"/>
        <v>12.879123780325642</v>
      </c>
      <c r="E23" s="81">
        <f t="shared" si="8"/>
        <v>13.201101874833768</v>
      </c>
      <c r="F23" s="81">
        <f t="shared" si="8"/>
        <v>13.53112942170462</v>
      </c>
      <c r="G23" s="81">
        <f t="shared" si="8"/>
        <v>13.869407657247223</v>
      </c>
      <c r="H23" s="81">
        <f t="shared" si="8"/>
        <v>-42.354267795852849</v>
      </c>
      <c r="I23" s="81">
        <f t="shared" si="8"/>
        <v>14.571546419895355</v>
      </c>
      <c r="J23" s="81">
        <f t="shared" si="8"/>
        <v>14.935835080392749</v>
      </c>
      <c r="K23" s="81">
        <f t="shared" si="8"/>
        <v>15.309230957402576</v>
      </c>
      <c r="L23" s="81">
        <f t="shared" si="8"/>
        <v>15.691961731337642</v>
      </c>
      <c r="M23" s="81">
        <f>M20-M10</f>
        <v>-111.92419364501464</v>
      </c>
      <c r="N23" s="81">
        <f t="shared" si="8"/>
        <v>16.486367293986618</v>
      </c>
      <c r="O23" s="81">
        <f t="shared" si="8"/>
        <v>16.898526476336258</v>
      </c>
      <c r="P23" s="81">
        <f t="shared" si="8"/>
        <v>17.320989638244683</v>
      </c>
      <c r="Q23" s="81">
        <f t="shared" si="8"/>
        <v>17.754014379200797</v>
      </c>
      <c r="R23" s="81">
        <f t="shared" si="8"/>
        <v>-54.217043586224719</v>
      </c>
      <c r="S23" s="81">
        <f t="shared" si="8"/>
        <v>18.652811357147826</v>
      </c>
      <c r="T23" s="81">
        <f t="shared" si="8"/>
        <v>19.119131641076521</v>
      </c>
      <c r="U23" s="81">
        <f t="shared" si="8"/>
        <v>19.59710993210345</v>
      </c>
      <c r="V23" s="81">
        <f t="shared" si="8"/>
        <v>20.087037680406027</v>
      </c>
      <c r="W23" s="82">
        <f t="shared" si="8"/>
        <v>680.29611449002357</v>
      </c>
      <c r="X23" s="130"/>
    </row>
    <row r="24" spans="1:24">
      <c r="A24" s="79" t="s">
        <v>11</v>
      </c>
      <c r="B24" s="80" t="s">
        <v>101</v>
      </c>
      <c r="C24" s="81">
        <f>C23</f>
        <v>-1995.3898808273761</v>
      </c>
      <c r="D24" s="81">
        <f>D23/(1+dis)^(D$1-$C$1)</f>
        <v>12.265832171738706</v>
      </c>
      <c r="E24" s="81">
        <f t="shared" ref="E24:W24" si="9">E23/(1+dis)^(E$1-$C$1)</f>
        <v>11.973788548602057</v>
      </c>
      <c r="F24" s="81">
        <f t="shared" si="9"/>
        <v>11.688698345063917</v>
      </c>
      <c r="G24" s="81">
        <f t="shared" si="9"/>
        <v>11.410396003514768</v>
      </c>
      <c r="H24" s="81">
        <f t="shared" si="9"/>
        <v>-33.185677079663087</v>
      </c>
      <c r="I24" s="81">
        <f t="shared" si="9"/>
        <v>10.873512291331245</v>
      </c>
      <c r="J24" s="81">
        <f t="shared" si="9"/>
        <v>10.614619141537649</v>
      </c>
      <c r="K24" s="81">
        <f t="shared" si="9"/>
        <v>10.361890114358188</v>
      </c>
      <c r="L24" s="81">
        <f t="shared" si="9"/>
        <v>10.115178444968707</v>
      </c>
      <c r="M24" s="81">
        <f t="shared" si="9"/>
        <v>-68.711745870536916</v>
      </c>
      <c r="N24" s="81">
        <f t="shared" si="9"/>
        <v>9.639237509065989</v>
      </c>
      <c r="O24" s="81">
        <f t="shared" si="9"/>
        <v>9.4097318540882142</v>
      </c>
      <c r="P24" s="81">
        <f t="shared" si="9"/>
        <v>9.1856906194670742</v>
      </c>
      <c r="Q24" s="81">
        <f t="shared" si="9"/>
        <v>8.9669836999559536</v>
      </c>
      <c r="R24" s="81">
        <f t="shared" si="9"/>
        <v>-26.079324972917462</v>
      </c>
      <c r="S24" s="81">
        <f t="shared" si="9"/>
        <v>8.5450678002414655</v>
      </c>
      <c r="T24" s="81">
        <f t="shared" si="9"/>
        <v>8.3416138049976212</v>
      </c>
      <c r="U24" s="81">
        <f t="shared" si="9"/>
        <v>8.1430039524976845</v>
      </c>
      <c r="V24" s="81">
        <f t="shared" si="9"/>
        <v>7.9491229060096398</v>
      </c>
      <c r="W24" s="82">
        <f t="shared" si="9"/>
        <v>256.39645079065662</v>
      </c>
      <c r="X24" s="130"/>
    </row>
    <row r="25" spans="1:24">
      <c r="A25" s="79" t="s">
        <v>13</v>
      </c>
      <c r="B25" s="80" t="s">
        <v>102</v>
      </c>
      <c r="C25" s="81">
        <f>C23</f>
        <v>-1995.3898808273761</v>
      </c>
      <c r="D25" s="81">
        <f>SUM($C24:D24)</f>
        <v>-1983.1240486556374</v>
      </c>
      <c r="E25" s="81">
        <f>SUM($C24:E24)</f>
        <v>-1971.1502601070354</v>
      </c>
      <c r="F25" s="81">
        <f>SUM($C24:F24)</f>
        <v>-1959.4615617619716</v>
      </c>
      <c r="G25" s="81">
        <f>SUM($C24:G24)</f>
        <v>-1948.0511657584568</v>
      </c>
      <c r="H25" s="81">
        <f>SUM($C24:H24)</f>
        <v>-1981.2368428381199</v>
      </c>
      <c r="I25" s="81">
        <f>SUM($C24:I24)</f>
        <v>-1970.3633305467886</v>
      </c>
      <c r="J25" s="81">
        <f>SUM($C24:J24)</f>
        <v>-1959.748711405251</v>
      </c>
      <c r="K25" s="81">
        <f>SUM($C24:K24)</f>
        <v>-1949.3868212908928</v>
      </c>
      <c r="L25" s="81">
        <f>SUM($C24:L24)</f>
        <v>-1939.2716428459241</v>
      </c>
      <c r="M25" s="81">
        <f>SUM($C24:M24)</f>
        <v>-2007.9833887164611</v>
      </c>
      <c r="N25" s="81">
        <f>SUM($C24:N24)</f>
        <v>-1998.3441512073953</v>
      </c>
      <c r="O25" s="81">
        <f>SUM($C24:O24)</f>
        <v>-1988.934419353307</v>
      </c>
      <c r="P25" s="81">
        <f>SUM($C24:P24)</f>
        <v>-1979.7487287338399</v>
      </c>
      <c r="Q25" s="81">
        <f>SUM($C24:Q24)</f>
        <v>-1970.7817450338839</v>
      </c>
      <c r="R25" s="81">
        <f>SUM($C24:R24)</f>
        <v>-1996.8610700068014</v>
      </c>
      <c r="S25" s="81">
        <f>SUM($C24:S24)</f>
        <v>-1988.3160022065599</v>
      </c>
      <c r="T25" s="81">
        <f>SUM($C24:T24)</f>
        <v>-1979.9743884015622</v>
      </c>
      <c r="U25" s="81">
        <f>SUM($C24:U24)</f>
        <v>-1971.8313844490644</v>
      </c>
      <c r="V25" s="81">
        <f>SUM($C24:V24)</f>
        <v>-1963.8822615430547</v>
      </c>
      <c r="W25" s="82">
        <f>SUM($C24:W24)</f>
        <v>-1707.485810752398</v>
      </c>
      <c r="X25" s="130"/>
    </row>
    <row r="26" spans="1:24">
      <c r="A26" s="74"/>
      <c r="B26" s="75"/>
      <c r="C26" s="75"/>
      <c r="D26" s="83"/>
      <c r="F26" s="75"/>
      <c r="G26" s="75"/>
      <c r="I26" s="75"/>
      <c r="J26" s="75"/>
      <c r="K26" s="216"/>
      <c r="L26" s="75"/>
      <c r="M26" s="75"/>
      <c r="N26" s="216"/>
      <c r="O26" s="75"/>
      <c r="P26" s="75"/>
      <c r="Q26" s="216"/>
      <c r="R26" s="75"/>
      <c r="S26" s="75"/>
      <c r="T26" s="216"/>
      <c r="U26" s="75"/>
      <c r="V26" s="75"/>
      <c r="W26" s="76"/>
      <c r="X26" s="129"/>
    </row>
    <row r="27" spans="1:24">
      <c r="A27" s="74"/>
      <c r="B27" s="84" t="s">
        <v>103</v>
      </c>
      <c r="C27" s="75"/>
      <c r="D27" s="214" t="s">
        <v>104</v>
      </c>
      <c r="E27" s="341">
        <f>'Summary - Cash'!C9</f>
        <v>2.5000000000000001E-2</v>
      </c>
      <c r="F27" s="340"/>
      <c r="G27" s="214" t="s">
        <v>105</v>
      </c>
      <c r="H27" s="341">
        <f>'Summary - Cash'!F9</f>
        <v>0.05</v>
      </c>
      <c r="I27" s="340"/>
      <c r="J27" s="214" t="s">
        <v>106</v>
      </c>
      <c r="K27" s="218">
        <f>Energy!J9</f>
        <v>524.1768172904118</v>
      </c>
      <c r="L27" s="215"/>
      <c r="M27" s="220" t="s">
        <v>153</v>
      </c>
      <c r="N27" s="221">
        <f>Energy!I9</f>
        <v>184.08434802291492</v>
      </c>
      <c r="O27" s="215"/>
      <c r="P27" s="219" t="s">
        <v>125</v>
      </c>
      <c r="Q27" s="218">
        <f>'Summary - Cash'!F19*'Summary - Cash'!B19</f>
        <v>831.41245034474002</v>
      </c>
      <c r="R27" s="215"/>
      <c r="S27" s="219" t="s">
        <v>126</v>
      </c>
      <c r="T27" s="222">
        <f>'Summary - Cash'!G19*'Summary - Cash'!B19</f>
        <v>498.84747020684398</v>
      </c>
      <c r="U27" s="215"/>
      <c r="V27" s="75"/>
      <c r="W27" s="76"/>
      <c r="X27" s="129"/>
    </row>
    <row r="28" spans="1:24">
      <c r="A28" s="74"/>
      <c r="B28" s="75"/>
      <c r="C28" s="75"/>
      <c r="D28" s="75"/>
      <c r="F28" s="75"/>
      <c r="G28" s="75"/>
      <c r="H28" s="204"/>
      <c r="I28" s="75"/>
      <c r="J28" s="75"/>
      <c r="L28" s="75"/>
      <c r="M28" s="75"/>
      <c r="N28" s="204"/>
      <c r="O28" s="75"/>
      <c r="P28" s="75"/>
      <c r="Q28" s="204"/>
      <c r="R28" s="75"/>
      <c r="S28" s="75"/>
      <c r="T28" s="204"/>
      <c r="U28" s="75"/>
      <c r="V28" s="75"/>
      <c r="W28" s="76"/>
      <c r="X28" s="129"/>
    </row>
    <row r="29" spans="1:24">
      <c r="A29" s="74"/>
      <c r="B29" s="75"/>
      <c r="C29" s="75"/>
      <c r="D29" s="223" t="s">
        <v>107</v>
      </c>
      <c r="E29" s="218">
        <f>'Summary - Cash'!H14</f>
        <v>125</v>
      </c>
      <c r="F29" s="215" t="s">
        <v>119</v>
      </c>
      <c r="G29" s="336" t="s">
        <v>382</v>
      </c>
      <c r="H29" s="97"/>
      <c r="I29" s="85" t="s">
        <v>152</v>
      </c>
      <c r="J29" s="219" t="s">
        <v>108</v>
      </c>
      <c r="K29" s="218">
        <f>'Summary - Cash'!C10</f>
        <v>25</v>
      </c>
      <c r="L29" s="215" t="s">
        <v>119</v>
      </c>
      <c r="M29" s="86" t="s">
        <v>120</v>
      </c>
      <c r="N29" s="231">
        <v>0</v>
      </c>
      <c r="O29" s="88" t="s">
        <v>109</v>
      </c>
      <c r="P29" s="89" t="s">
        <v>118</v>
      </c>
      <c r="Q29" s="87"/>
      <c r="R29" s="75" t="s">
        <v>119</v>
      </c>
      <c r="S29" s="75"/>
      <c r="T29" s="75"/>
      <c r="U29" s="75"/>
      <c r="V29" s="75"/>
      <c r="W29" s="76"/>
      <c r="X29" s="129"/>
    </row>
    <row r="30" spans="1:24">
      <c r="A30" s="74"/>
      <c r="B30" s="75"/>
      <c r="C30" s="75"/>
      <c r="D30" s="75"/>
      <c r="E30" s="204"/>
      <c r="F30" s="75"/>
      <c r="G30" s="75"/>
      <c r="H30" s="75"/>
      <c r="I30" s="75"/>
      <c r="J30" s="75"/>
      <c r="K30" s="204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  <c r="X30" s="129"/>
    </row>
    <row r="31" spans="1:24">
      <c r="A31" s="94"/>
      <c r="B31" s="98" t="s">
        <v>121</v>
      </c>
      <c r="C31" s="95"/>
      <c r="D31" s="95"/>
      <c r="E31" s="95" t="s">
        <v>122</v>
      </c>
      <c r="F31" s="95"/>
      <c r="G31" s="95"/>
      <c r="H31" s="99" t="e">
        <f>IRR($C23:$W23)</f>
        <v>#NUM!</v>
      </c>
      <c r="I31" s="100"/>
      <c r="J31" s="100" t="s">
        <v>102</v>
      </c>
      <c r="K31" s="101">
        <f>$W25</f>
        <v>-1707.485810752398</v>
      </c>
      <c r="L31" s="100"/>
      <c r="M31" s="100"/>
      <c r="N31" s="100"/>
      <c r="O31" s="100"/>
      <c r="P31" s="102" t="s">
        <v>123</v>
      </c>
      <c r="Q31" s="103">
        <f>MATCH(1,D25:W25)</f>
        <v>20</v>
      </c>
      <c r="R31" s="95"/>
      <c r="S31" s="95"/>
      <c r="T31" s="95"/>
      <c r="U31" s="95"/>
      <c r="V31" s="95"/>
      <c r="W31" s="96"/>
      <c r="X31" s="131"/>
    </row>
    <row r="33" spans="1:13">
      <c r="B33" s="2" t="s">
        <v>113</v>
      </c>
      <c r="D33" s="3"/>
      <c r="E33" s="3"/>
      <c r="F33" s="3"/>
      <c r="G33" s="3"/>
      <c r="H33" s="3"/>
    </row>
    <row r="34" spans="1:13">
      <c r="A34">
        <v>1</v>
      </c>
      <c r="B34" t="s">
        <v>369</v>
      </c>
      <c r="D34" s="4"/>
    </row>
    <row r="35" spans="1:13">
      <c r="A35">
        <v>2</v>
      </c>
      <c r="B35" t="s">
        <v>131</v>
      </c>
      <c r="L35" s="224"/>
      <c r="M35" s="138" t="s">
        <v>307</v>
      </c>
    </row>
    <row r="36" spans="1:13">
      <c r="A36">
        <v>3</v>
      </c>
      <c r="B36" s="138" t="s">
        <v>383</v>
      </c>
      <c r="L36" s="227"/>
      <c r="M36" s="138" t="s">
        <v>308</v>
      </c>
    </row>
    <row r="37" spans="1:13">
      <c r="A37">
        <v>4</v>
      </c>
      <c r="B37" s="138" t="s">
        <v>393</v>
      </c>
    </row>
    <row r="38" spans="1:13">
      <c r="A38">
        <v>5</v>
      </c>
      <c r="B38" s="138" t="s">
        <v>425</v>
      </c>
    </row>
    <row r="41" spans="1:13">
      <c r="B41" s="6"/>
    </row>
  </sheetData>
  <sheetProtection selectLockedCells="1"/>
  <printOptions horizontalCentered="1"/>
  <pageMargins left="1" right="1" top="2.25" bottom="1" header="0.5" footer="0.5"/>
  <pageSetup paperSize="3" scale="80" orientation="landscape" r:id="rId1"/>
  <headerFooter alignWithMargins="0">
    <oddHeader>&amp;L&amp;"Arial,Bold Italic"&amp;11Privileged and Confidential&amp;C&amp;"Arial,Bold Italic"&amp;11Ten Mile River Feasibility Study
Phase 1
&amp;R&amp;"Arial,Bold Italic"&amp;11&amp;A</oddHeader>
    <oddFooter>&amp;L&amp;G&amp;C&amp;"Arial,Bold Italic"For Planning Purposes Only&amp;R&amp;"Arial,Bold Italic"&amp;F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6"/>
  </sheetPr>
  <dimension ref="A1:AD41"/>
  <sheetViews>
    <sheetView view="pageBreakPreview" zoomScale="70" zoomScaleNormal="75" zoomScaleSheetLayoutView="70" workbookViewId="0">
      <selection activeCell="H11" sqref="H11"/>
    </sheetView>
  </sheetViews>
  <sheetFormatPr defaultRowHeight="12.75"/>
  <cols>
    <col min="1" max="1" width="4.5703125" customWidth="1"/>
    <col min="2" max="2" width="30.85546875" customWidth="1"/>
    <col min="3" max="3" width="9.28515625" bestFit="1" customWidth="1"/>
    <col min="4" max="4" width="9.42578125" bestFit="1" customWidth="1"/>
    <col min="5" max="7" width="9.28515625" bestFit="1" customWidth="1"/>
    <col min="8" max="8" width="9.85546875" bestFit="1" customWidth="1"/>
    <col min="9" max="9" width="9.28515625" bestFit="1" customWidth="1"/>
    <col min="10" max="10" width="12.28515625" customWidth="1"/>
    <col min="11" max="11" width="12.42578125" customWidth="1"/>
    <col min="12" max="23" width="9.28515625" bestFit="1" customWidth="1"/>
    <col min="24" max="24" width="25.28515625" style="112" customWidth="1"/>
  </cols>
  <sheetData>
    <row r="1" spans="1:30" ht="26.25" thickBot="1">
      <c r="A1" s="228" t="s">
        <v>0</v>
      </c>
      <c r="B1" s="229" t="s">
        <v>92</v>
      </c>
      <c r="C1" s="229">
        <v>0</v>
      </c>
      <c r="D1" s="229">
        <v>1</v>
      </c>
      <c r="E1" s="229">
        <v>2</v>
      </c>
      <c r="F1" s="229">
        <v>3</v>
      </c>
      <c r="G1" s="229">
        <v>4</v>
      </c>
      <c r="H1" s="229">
        <v>5</v>
      </c>
      <c r="I1" s="229">
        <v>6</v>
      </c>
      <c r="J1" s="229">
        <v>7</v>
      </c>
      <c r="K1" s="229">
        <v>8</v>
      </c>
      <c r="L1" s="229">
        <v>9</v>
      </c>
      <c r="M1" s="229">
        <v>10</v>
      </c>
      <c r="N1" s="229">
        <v>11</v>
      </c>
      <c r="O1" s="229">
        <v>12</v>
      </c>
      <c r="P1" s="229">
        <v>13</v>
      </c>
      <c r="Q1" s="229">
        <v>14</v>
      </c>
      <c r="R1" s="229">
        <v>15</v>
      </c>
      <c r="S1" s="229">
        <v>16</v>
      </c>
      <c r="T1" s="229">
        <v>17</v>
      </c>
      <c r="U1" s="229">
        <v>18</v>
      </c>
      <c r="V1" s="229">
        <v>19</v>
      </c>
      <c r="W1" s="230">
        <v>20</v>
      </c>
      <c r="X1" s="120" t="s">
        <v>199</v>
      </c>
      <c r="AA1" s="1"/>
      <c r="AB1" s="1"/>
      <c r="AC1" s="1"/>
      <c r="AD1" s="1"/>
    </row>
    <row r="2" spans="1:30">
      <c r="A2" s="203"/>
      <c r="B2" s="204"/>
      <c r="C2" s="204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129"/>
    </row>
    <row r="3" spans="1:30">
      <c r="A3" s="77">
        <v>1</v>
      </c>
      <c r="B3" s="78" t="s">
        <v>110</v>
      </c>
      <c r="C3" s="216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129"/>
    </row>
    <row r="4" spans="1:30">
      <c r="A4" s="79" t="s">
        <v>8</v>
      </c>
      <c r="B4" s="225" t="s">
        <v>93</v>
      </c>
      <c r="C4" s="227">
        <f>'Costs E (no min flow)'!F137</f>
        <v>4019.7894047860382</v>
      </c>
      <c r="D4" s="226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130"/>
    </row>
    <row r="5" spans="1:30" ht="14.25" customHeight="1">
      <c r="A5" s="79" t="s">
        <v>11</v>
      </c>
      <c r="B5" s="80" t="s">
        <v>94</v>
      </c>
      <c r="C5" s="197"/>
      <c r="D5" s="81">
        <f t="shared" ref="D5:W5" si="0">mwh*(0.015)*(1+esc)^(D$1-$C$1)</f>
        <v>18.211321123313674</v>
      </c>
      <c r="E5" s="81">
        <f t="shared" si="0"/>
        <v>18.666604151396516</v>
      </c>
      <c r="F5" s="81">
        <f t="shared" si="0"/>
        <v>19.133269255181428</v>
      </c>
      <c r="G5" s="81">
        <f t="shared" si="0"/>
        <v>19.611600986560962</v>
      </c>
      <c r="H5" s="81">
        <f t="shared" si="0"/>
        <v>20.101891011224986</v>
      </c>
      <c r="I5" s="81">
        <f t="shared" si="0"/>
        <v>20.604438286505609</v>
      </c>
      <c r="J5" s="81">
        <f t="shared" si="0"/>
        <v>21.119549243668249</v>
      </c>
      <c r="K5" s="81">
        <f t="shared" si="0"/>
        <v>21.647537974759953</v>
      </c>
      <c r="L5" s="81">
        <f t="shared" si="0"/>
        <v>22.188726424128948</v>
      </c>
      <c r="M5" s="81">
        <f t="shared" si="0"/>
        <v>22.743444584732174</v>
      </c>
      <c r="N5" s="81">
        <f t="shared" si="0"/>
        <v>23.312030699350476</v>
      </c>
      <c r="O5" s="81">
        <f t="shared" si="0"/>
        <v>23.894831466834237</v>
      </c>
      <c r="P5" s="81">
        <f t="shared" si="0"/>
        <v>24.492202253505091</v>
      </c>
      <c r="Q5" s="81">
        <f t="shared" si="0"/>
        <v>25.104507309842717</v>
      </c>
      <c r="R5" s="81">
        <f t="shared" si="0"/>
        <v>25.732119992588789</v>
      </c>
      <c r="S5" s="81">
        <f t="shared" si="0"/>
        <v>26.375422992403507</v>
      </c>
      <c r="T5" s="81">
        <f t="shared" si="0"/>
        <v>27.034808567213588</v>
      </c>
      <c r="U5" s="81">
        <f t="shared" si="0"/>
        <v>27.710678781393931</v>
      </c>
      <c r="V5" s="81">
        <f t="shared" si="0"/>
        <v>28.403445750928778</v>
      </c>
      <c r="W5" s="81">
        <f t="shared" si="0"/>
        <v>29.113531894701996</v>
      </c>
      <c r="X5" s="130"/>
    </row>
    <row r="6" spans="1:30">
      <c r="A6" s="79" t="s">
        <v>13</v>
      </c>
      <c r="B6" s="80" t="s">
        <v>95</v>
      </c>
      <c r="C6" s="81"/>
      <c r="D6" s="81"/>
      <c r="E6" s="81"/>
      <c r="F6" s="81"/>
      <c r="G6" s="81"/>
      <c r="H6" s="81">
        <f>50*(1+esc)^(H1-$C1)</f>
        <v>56.570410644531236</v>
      </c>
      <c r="I6" s="81"/>
      <c r="J6" s="81"/>
      <c r="K6" s="81"/>
      <c r="L6" s="81"/>
      <c r="M6" s="81">
        <f>100*(1+esc)^(M1-$C1)</f>
        <v>128.00845441963571</v>
      </c>
      <c r="N6" s="81"/>
      <c r="O6" s="81"/>
      <c r="P6" s="81"/>
      <c r="Q6" s="81"/>
      <c r="R6" s="81">
        <f>50*(1+esc)^(R1-$C1)</f>
        <v>72.414908324905525</v>
      </c>
      <c r="S6" s="81"/>
      <c r="T6" s="81"/>
      <c r="U6" s="81"/>
      <c r="V6" s="81"/>
      <c r="W6" s="82">
        <f>100*(1+esc)^(W1-$C1)</f>
        <v>163.86164402903955</v>
      </c>
      <c r="X6" s="130"/>
    </row>
    <row r="7" spans="1:30">
      <c r="A7" s="79" t="s">
        <v>16</v>
      </c>
      <c r="B7" s="332" t="s">
        <v>368</v>
      </c>
      <c r="C7" s="81"/>
      <c r="D7" s="81">
        <f t="shared" ref="D7:W7" si="1">(0.0025*$C$4*(1+esc)^(D$1-$C$1))</f>
        <v>10.300710349764222</v>
      </c>
      <c r="E7" s="81">
        <f t="shared" si="1"/>
        <v>10.558228108508327</v>
      </c>
      <c r="F7" s="81">
        <f t="shared" si="1"/>
        <v>10.822183811221034</v>
      </c>
      <c r="G7" s="81">
        <f t="shared" si="1"/>
        <v>11.09273840650156</v>
      </c>
      <c r="H7" s="81">
        <f t="shared" si="1"/>
        <v>11.370056866664097</v>
      </c>
      <c r="I7" s="81">
        <f t="shared" si="1"/>
        <v>11.6543082883307</v>
      </c>
      <c r="J7" s="81">
        <f t="shared" si="1"/>
        <v>11.945665995538967</v>
      </c>
      <c r="K7" s="81">
        <f t="shared" si="1"/>
        <v>12.24430764542744</v>
      </c>
      <c r="L7" s="81">
        <f t="shared" si="1"/>
        <v>12.550415336563125</v>
      </c>
      <c r="M7" s="81">
        <f t="shared" si="1"/>
        <v>12.864175719977203</v>
      </c>
      <c r="N7" s="81">
        <f t="shared" si="1"/>
        <v>13.185780112976632</v>
      </c>
      <c r="O7" s="81">
        <f t="shared" si="1"/>
        <v>13.515424615801047</v>
      </c>
      <c r="P7" s="81">
        <f t="shared" si="1"/>
        <v>13.853310231196073</v>
      </c>
      <c r="Q7" s="81">
        <f t="shared" si="1"/>
        <v>14.199642986975974</v>
      </c>
      <c r="R7" s="81">
        <f t="shared" si="1"/>
        <v>14.554634061650374</v>
      </c>
      <c r="S7" s="81">
        <f t="shared" si="1"/>
        <v>14.918499913191633</v>
      </c>
      <c r="T7" s="81">
        <f t="shared" si="1"/>
        <v>15.291462411021421</v>
      </c>
      <c r="U7" s="81">
        <f t="shared" si="1"/>
        <v>15.673748971296957</v>
      </c>
      <c r="V7" s="81">
        <f t="shared" si="1"/>
        <v>16.065592695579383</v>
      </c>
      <c r="W7" s="81">
        <f t="shared" si="1"/>
        <v>16.467232512968863</v>
      </c>
      <c r="X7" s="130"/>
    </row>
    <row r="8" spans="1:30">
      <c r="A8" s="79" t="s">
        <v>19</v>
      </c>
      <c r="B8" s="332" t="s">
        <v>381</v>
      </c>
      <c r="C8" s="81"/>
      <c r="D8" s="81">
        <f t="shared" ref="D8:W8" si="2">(0.015*$C$4*(1+esc)^(D$1-$C$1))</f>
        <v>61.804262098585326</v>
      </c>
      <c r="E8" s="81">
        <f t="shared" si="2"/>
        <v>63.349368651049957</v>
      </c>
      <c r="F8" s="81">
        <f t="shared" si="2"/>
        <v>64.933102867326213</v>
      </c>
      <c r="G8" s="81">
        <f t="shared" si="2"/>
        <v>66.556430439009361</v>
      </c>
      <c r="H8" s="81">
        <f t="shared" si="2"/>
        <v>68.220341199984588</v>
      </c>
      <c r="I8" s="81">
        <f t="shared" si="2"/>
        <v>69.925849729984193</v>
      </c>
      <c r="J8" s="81">
        <f t="shared" si="2"/>
        <v>71.673995973233801</v>
      </c>
      <c r="K8" s="81">
        <f t="shared" si="2"/>
        <v>73.465845872564643</v>
      </c>
      <c r="L8" s="81">
        <f t="shared" si="2"/>
        <v>75.302492019378747</v>
      </c>
      <c r="M8" s="81">
        <f t="shared" si="2"/>
        <v>77.185054319863212</v>
      </c>
      <c r="N8" s="81">
        <f t="shared" si="2"/>
        <v>79.114680677859795</v>
      </c>
      <c r="O8" s="81">
        <f t="shared" si="2"/>
        <v>81.092547694806271</v>
      </c>
      <c r="P8" s="81">
        <f t="shared" si="2"/>
        <v>83.119861387176428</v>
      </c>
      <c r="Q8" s="81">
        <f t="shared" si="2"/>
        <v>85.197857921855828</v>
      </c>
      <c r="R8" s="81">
        <f t="shared" si="2"/>
        <v>87.327804369902239</v>
      </c>
      <c r="S8" s="81">
        <f t="shared" si="2"/>
        <v>89.510999479149788</v>
      </c>
      <c r="T8" s="81">
        <f t="shared" si="2"/>
        <v>91.748774466128523</v>
      </c>
      <c r="U8" s="81">
        <f t="shared" si="2"/>
        <v>94.04249382778174</v>
      </c>
      <c r="V8" s="81">
        <f t="shared" si="2"/>
        <v>96.393556173476284</v>
      </c>
      <c r="W8" s="81">
        <f t="shared" si="2"/>
        <v>98.803395077813178</v>
      </c>
      <c r="X8" s="130"/>
    </row>
    <row r="9" spans="1:30">
      <c r="A9" s="199" t="s">
        <v>21</v>
      </c>
      <c r="B9" s="200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2"/>
      <c r="X9" s="130"/>
    </row>
    <row r="10" spans="1:30">
      <c r="A10" s="195" t="s">
        <v>35</v>
      </c>
      <c r="B10" s="196" t="s">
        <v>96</v>
      </c>
      <c r="C10" s="197">
        <f t="shared" ref="C10:W10" si="3">SUM(C4:C9)</f>
        <v>4019.7894047860382</v>
      </c>
      <c r="D10" s="197">
        <f t="shared" si="3"/>
        <v>90.316293571663223</v>
      </c>
      <c r="E10" s="197">
        <f t="shared" si="3"/>
        <v>92.574200910954801</v>
      </c>
      <c r="F10" s="197">
        <f t="shared" si="3"/>
        <v>94.888555933728668</v>
      </c>
      <c r="G10" s="197">
        <f t="shared" si="3"/>
        <v>97.260769832071887</v>
      </c>
      <c r="H10" s="197">
        <f t="shared" si="3"/>
        <v>156.26269972240493</v>
      </c>
      <c r="I10" s="197">
        <f t="shared" si="3"/>
        <v>102.1845963048205</v>
      </c>
      <c r="J10" s="197">
        <f t="shared" si="3"/>
        <v>104.73921121244102</v>
      </c>
      <c r="K10" s="197">
        <f t="shared" si="3"/>
        <v>107.35769149275204</v>
      </c>
      <c r="L10" s="197">
        <f t="shared" si="3"/>
        <v>110.04163378007081</v>
      </c>
      <c r="M10" s="197">
        <f>SUM(M4:M9)</f>
        <v>240.8011290442083</v>
      </c>
      <c r="N10" s="197">
        <f>SUM(N4:N9)</f>
        <v>115.6124914901869</v>
      </c>
      <c r="O10" s="197">
        <f t="shared" si="3"/>
        <v>118.50280377744156</v>
      </c>
      <c r="P10" s="197">
        <f t="shared" si="3"/>
        <v>121.46537387187759</v>
      </c>
      <c r="Q10" s="197">
        <f t="shared" si="3"/>
        <v>124.50200821867452</v>
      </c>
      <c r="R10" s="197">
        <f t="shared" si="3"/>
        <v>200.02946674904695</v>
      </c>
      <c r="S10" s="197">
        <f t="shared" si="3"/>
        <v>130.80492238474494</v>
      </c>
      <c r="T10" s="197">
        <f t="shared" si="3"/>
        <v>134.07504544436352</v>
      </c>
      <c r="U10" s="197">
        <f t="shared" si="3"/>
        <v>137.42692158047262</v>
      </c>
      <c r="V10" s="197">
        <f t="shared" si="3"/>
        <v>140.86259461998446</v>
      </c>
      <c r="W10" s="198">
        <f t="shared" si="3"/>
        <v>308.24580351452357</v>
      </c>
      <c r="X10" s="130"/>
    </row>
    <row r="11" spans="1:30">
      <c r="A11" s="74"/>
      <c r="B11" s="7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2"/>
      <c r="X11" s="130"/>
    </row>
    <row r="12" spans="1:30">
      <c r="A12" s="77">
        <v>2</v>
      </c>
      <c r="B12" s="78" t="s">
        <v>111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2"/>
      <c r="X12" s="130"/>
    </row>
    <row r="13" spans="1:30">
      <c r="A13" s="79" t="s">
        <v>8</v>
      </c>
      <c r="B13" s="80" t="s">
        <v>125</v>
      </c>
      <c r="C13" s="81">
        <f>$Q$27</f>
        <v>1004.9473511965095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2"/>
      <c r="X13" s="130"/>
    </row>
    <row r="14" spans="1:30">
      <c r="A14" s="79" t="s">
        <v>11</v>
      </c>
      <c r="B14" s="80" t="s">
        <v>127</v>
      </c>
      <c r="C14" s="81">
        <f>T27</f>
        <v>602.96841071790573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  <c r="X14" s="130"/>
    </row>
    <row r="15" spans="1:30">
      <c r="A15" s="79" t="s">
        <v>13</v>
      </c>
      <c r="B15" s="80" t="s">
        <v>97</v>
      </c>
      <c r="C15" s="81"/>
      <c r="D15" s="81">
        <f t="shared" ref="D15:W15" si="4">0.001*mwh*$E$29*(1+esc)^(D$1-$C$1)</f>
        <v>151.7610093609473</v>
      </c>
      <c r="E15" s="81">
        <f t="shared" si="4"/>
        <v>155.555034594971</v>
      </c>
      <c r="F15" s="81">
        <f t="shared" si="4"/>
        <v>159.44391045984526</v>
      </c>
      <c r="G15" s="81">
        <f t="shared" si="4"/>
        <v>163.43000822134138</v>
      </c>
      <c r="H15" s="81">
        <f t="shared" si="4"/>
        <v>167.5157584268749</v>
      </c>
      <c r="I15" s="81">
        <f t="shared" si="4"/>
        <v>171.70365238754675</v>
      </c>
      <c r="J15" s="81">
        <f t="shared" si="4"/>
        <v>175.99624369723543</v>
      </c>
      <c r="K15" s="81">
        <f t="shared" si="4"/>
        <v>180.39614978966631</v>
      </c>
      <c r="L15" s="81">
        <f t="shared" si="4"/>
        <v>184.90605353440793</v>
      </c>
      <c r="M15" s="81">
        <f t="shared" si="4"/>
        <v>189.52870487276815</v>
      </c>
      <c r="N15" s="81">
        <f t="shared" si="4"/>
        <v>194.26692249458733</v>
      </c>
      <c r="O15" s="81">
        <f t="shared" si="4"/>
        <v>199.12359555695201</v>
      </c>
      <c r="P15" s="81">
        <f t="shared" si="4"/>
        <v>204.1016854458758</v>
      </c>
      <c r="Q15" s="81">
        <f t="shared" si="4"/>
        <v>209.20422758202267</v>
      </c>
      <c r="R15" s="81">
        <f t="shared" si="4"/>
        <v>214.43433327157325</v>
      </c>
      <c r="S15" s="81">
        <f t="shared" si="4"/>
        <v>219.79519160336258</v>
      </c>
      <c r="T15" s="81">
        <f t="shared" si="4"/>
        <v>225.2900713934466</v>
      </c>
      <c r="U15" s="81">
        <f t="shared" si="4"/>
        <v>230.9223231782828</v>
      </c>
      <c r="V15" s="81">
        <f t="shared" si="4"/>
        <v>236.69538125773985</v>
      </c>
      <c r="W15" s="81">
        <f t="shared" si="4"/>
        <v>242.61276578918333</v>
      </c>
      <c r="X15" s="105"/>
    </row>
    <row r="16" spans="1:30">
      <c r="A16" s="79" t="s">
        <v>16</v>
      </c>
      <c r="B16" s="80" t="s">
        <v>98</v>
      </c>
      <c r="C16" s="81"/>
      <c r="D16" s="81">
        <f>0.001*mwh*rec*(1+esc)^(D$1-$C$1)</f>
        <v>30.352201872189465</v>
      </c>
      <c r="E16" s="81">
        <f t="shared" ref="E16:W16" si="5">0.001*mwh*rec*(1+esc)^(E$1-$C$1)</f>
        <v>31.1110069189942</v>
      </c>
      <c r="F16" s="81">
        <f t="shared" si="5"/>
        <v>31.888782091969055</v>
      </c>
      <c r="G16" s="81">
        <f t="shared" si="5"/>
        <v>32.686001644268281</v>
      </c>
      <c r="H16" s="81">
        <f t="shared" si="5"/>
        <v>33.503151685374981</v>
      </c>
      <c r="I16" s="81">
        <f t="shared" si="5"/>
        <v>34.340730477509354</v>
      </c>
      <c r="J16" s="81">
        <f t="shared" si="5"/>
        <v>35.199248739447086</v>
      </c>
      <c r="K16" s="81">
        <f t="shared" si="5"/>
        <v>36.079229957933265</v>
      </c>
      <c r="L16" s="81">
        <f t="shared" si="5"/>
        <v>36.981210706881591</v>
      </c>
      <c r="M16" s="81">
        <f t="shared" si="5"/>
        <v>37.90574097455363</v>
      </c>
      <c r="N16" s="81">
        <f t="shared" si="5"/>
        <v>38.853384498917471</v>
      </c>
      <c r="O16" s="81">
        <f t="shared" si="5"/>
        <v>39.824719111390401</v>
      </c>
      <c r="P16" s="81">
        <f t="shared" si="5"/>
        <v>40.820337089175162</v>
      </c>
      <c r="Q16" s="81">
        <f t="shared" si="5"/>
        <v>41.840845516404535</v>
      </c>
      <c r="R16" s="81">
        <f t="shared" si="5"/>
        <v>42.886866654314652</v>
      </c>
      <c r="S16" s="81">
        <f t="shared" si="5"/>
        <v>43.959038320672519</v>
      </c>
      <c r="T16" s="81">
        <f t="shared" si="5"/>
        <v>45.058014278689321</v>
      </c>
      <c r="U16" s="81">
        <f t="shared" si="5"/>
        <v>46.18446463565656</v>
      </c>
      <c r="V16" s="81">
        <f t="shared" si="5"/>
        <v>47.339076251547972</v>
      </c>
      <c r="W16" s="82">
        <f t="shared" si="5"/>
        <v>48.522553157836668</v>
      </c>
      <c r="X16" s="130"/>
    </row>
    <row r="17" spans="1:24">
      <c r="A17" s="79" t="s">
        <v>19</v>
      </c>
      <c r="B17" s="80" t="s">
        <v>117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2"/>
      <c r="X17" s="130"/>
    </row>
    <row r="18" spans="1:24">
      <c r="A18" s="79" t="s">
        <v>21</v>
      </c>
      <c r="B18" s="80" t="s">
        <v>150</v>
      </c>
      <c r="C18" s="81"/>
      <c r="D18" s="81">
        <f t="shared" ref="D18:W18" si="6">0.001*cap*12*(dem)*(1+esc)^(D$1-$C$1)</f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1">
        <f t="shared" si="6"/>
        <v>0</v>
      </c>
      <c r="P18" s="81">
        <f t="shared" si="6"/>
        <v>0</v>
      </c>
      <c r="Q18" s="81">
        <f t="shared" si="6"/>
        <v>0</v>
      </c>
      <c r="R18" s="81">
        <f t="shared" si="6"/>
        <v>0</v>
      </c>
      <c r="S18" s="81">
        <f t="shared" si="6"/>
        <v>0</v>
      </c>
      <c r="T18" s="81">
        <f t="shared" si="6"/>
        <v>0</v>
      </c>
      <c r="U18" s="81">
        <f t="shared" si="6"/>
        <v>0</v>
      </c>
      <c r="V18" s="81">
        <f t="shared" si="6"/>
        <v>0</v>
      </c>
      <c r="W18" s="82">
        <f t="shared" si="6"/>
        <v>0</v>
      </c>
      <c r="X18" s="130"/>
    </row>
    <row r="19" spans="1:24">
      <c r="A19" s="199" t="s">
        <v>35</v>
      </c>
      <c r="B19" s="356" t="s">
        <v>426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202">
        <f>IF($V$23&lt;=0,0,(1+esc)*$V$23/(dis-esc))</f>
        <v>5870.0463784614385</v>
      </c>
      <c r="X19" s="130"/>
    </row>
    <row r="20" spans="1:24">
      <c r="A20" s="195" t="s">
        <v>36</v>
      </c>
      <c r="B20" s="196" t="s">
        <v>99</v>
      </c>
      <c r="C20" s="197">
        <f t="shared" ref="C20:V20" si="7">SUM(C13:C18)</f>
        <v>1607.9157619144153</v>
      </c>
      <c r="D20" s="197">
        <f t="shared" si="7"/>
        <v>182.11321123313675</v>
      </c>
      <c r="E20" s="197">
        <f t="shared" si="7"/>
        <v>186.66604151396521</v>
      </c>
      <c r="F20" s="197">
        <f t="shared" si="7"/>
        <v>191.33269255181432</v>
      </c>
      <c r="G20" s="197">
        <f t="shared" si="7"/>
        <v>196.11600986560967</v>
      </c>
      <c r="H20" s="197">
        <f t="shared" si="7"/>
        <v>201.01891011224987</v>
      </c>
      <c r="I20" s="197">
        <f t="shared" si="7"/>
        <v>206.04438286505609</v>
      </c>
      <c r="J20" s="197">
        <f t="shared" si="7"/>
        <v>211.19549243668251</v>
      </c>
      <c r="K20" s="197">
        <f t="shared" si="7"/>
        <v>216.47537974759956</v>
      </c>
      <c r="L20" s="197">
        <f t="shared" si="7"/>
        <v>221.88726424128953</v>
      </c>
      <c r="M20" s="197">
        <f t="shared" si="7"/>
        <v>227.43444584732177</v>
      </c>
      <c r="N20" s="197">
        <f t="shared" si="7"/>
        <v>233.12030699350481</v>
      </c>
      <c r="O20" s="197">
        <f t="shared" si="7"/>
        <v>238.94831466834242</v>
      </c>
      <c r="P20" s="197">
        <f t="shared" si="7"/>
        <v>244.92202253505096</v>
      </c>
      <c r="Q20" s="197">
        <f t="shared" si="7"/>
        <v>251.0450730984272</v>
      </c>
      <c r="R20" s="197">
        <f t="shared" si="7"/>
        <v>257.32119992588792</v>
      </c>
      <c r="S20" s="197">
        <f t="shared" si="7"/>
        <v>263.75422992403509</v>
      </c>
      <c r="T20" s="197">
        <f t="shared" si="7"/>
        <v>270.34808567213594</v>
      </c>
      <c r="U20" s="197">
        <f t="shared" si="7"/>
        <v>277.10678781393938</v>
      </c>
      <c r="V20" s="197">
        <f t="shared" si="7"/>
        <v>284.03445750928785</v>
      </c>
      <c r="W20" s="198">
        <f>SUM(W13:W19)</f>
        <v>6161.1816974084586</v>
      </c>
      <c r="X20" s="130"/>
    </row>
    <row r="21" spans="1:2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  <c r="X21" s="344">
        <f>0.5*C4*(1+esc)^20</f>
        <v>3293.4465025937729</v>
      </c>
    </row>
    <row r="22" spans="1:24">
      <c r="A22" s="77">
        <v>3</v>
      </c>
      <c r="B22" s="78" t="s">
        <v>112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6"/>
      <c r="X22" s="344">
        <f>(1+esc)*V23/(dis-esc)</f>
        <v>5870.0463784614385</v>
      </c>
    </row>
    <row r="23" spans="1:24">
      <c r="A23" s="79" t="s">
        <v>8</v>
      </c>
      <c r="B23" s="80" t="s">
        <v>100</v>
      </c>
      <c r="C23" s="81">
        <f t="shared" ref="C23:W23" si="8">C20-C10</f>
        <v>-2411.8736428716229</v>
      </c>
      <c r="D23" s="81">
        <f t="shared" si="8"/>
        <v>91.796917661473529</v>
      </c>
      <c r="E23" s="81">
        <f t="shared" si="8"/>
        <v>94.091840603010411</v>
      </c>
      <c r="F23" s="81">
        <f t="shared" si="8"/>
        <v>96.444136618085651</v>
      </c>
      <c r="G23" s="81">
        <f t="shared" si="8"/>
        <v>98.855240033537783</v>
      </c>
      <c r="H23" s="81">
        <f t="shared" si="8"/>
        <v>44.756210389844938</v>
      </c>
      <c r="I23" s="81">
        <f t="shared" si="8"/>
        <v>103.85978656023559</v>
      </c>
      <c r="J23" s="81">
        <f t="shared" si="8"/>
        <v>106.45628122424149</v>
      </c>
      <c r="K23" s="81">
        <f t="shared" si="8"/>
        <v>109.11768825484752</v>
      </c>
      <c r="L23" s="81">
        <f t="shared" si="8"/>
        <v>111.84563046121872</v>
      </c>
      <c r="M23" s="81">
        <f>M20-M10</f>
        <v>-13.366683196886527</v>
      </c>
      <c r="N23" s="81">
        <f t="shared" si="8"/>
        <v>117.50781550331791</v>
      </c>
      <c r="O23" s="81">
        <f t="shared" si="8"/>
        <v>120.44551089090086</v>
      </c>
      <c r="P23" s="81">
        <f t="shared" si="8"/>
        <v>123.45664866317337</v>
      </c>
      <c r="Q23" s="81">
        <f t="shared" si="8"/>
        <v>126.54306487975268</v>
      </c>
      <c r="R23" s="81">
        <f t="shared" si="8"/>
        <v>57.291733176840978</v>
      </c>
      <c r="S23" s="81">
        <f t="shared" si="8"/>
        <v>132.94930753929015</v>
      </c>
      <c r="T23" s="81">
        <f t="shared" si="8"/>
        <v>136.27304022777241</v>
      </c>
      <c r="U23" s="81">
        <f t="shared" si="8"/>
        <v>139.67986623346675</v>
      </c>
      <c r="V23" s="81">
        <f>V20-V10</f>
        <v>143.17186288930338</v>
      </c>
      <c r="W23" s="82">
        <f t="shared" si="8"/>
        <v>5852.9358938939349</v>
      </c>
      <c r="X23" s="130"/>
    </row>
    <row r="24" spans="1:24">
      <c r="A24" s="79" t="s">
        <v>11</v>
      </c>
      <c r="B24" s="80" t="s">
        <v>101</v>
      </c>
      <c r="C24" s="81">
        <f>C23</f>
        <v>-2411.8736428716229</v>
      </c>
      <c r="D24" s="81">
        <f>D23/(1+dis)^(D$1-$C$1)</f>
        <v>87.425635868070017</v>
      </c>
      <c r="E24" s="81">
        <f t="shared" ref="E24:W24" si="9">E23/(1+dis)^(E$1-$C$1)</f>
        <v>85.344073109306493</v>
      </c>
      <c r="F24" s="81">
        <f t="shared" si="9"/>
        <v>83.312071368608699</v>
      </c>
      <c r="G24" s="81">
        <f t="shared" si="9"/>
        <v>81.328450621737062</v>
      </c>
      <c r="H24" s="81">
        <f t="shared" si="9"/>
        <v>35.067661952411015</v>
      </c>
      <c r="I24" s="81">
        <f t="shared" si="9"/>
        <v>77.501771822641686</v>
      </c>
      <c r="J24" s="81">
        <f t="shared" si="9"/>
        <v>75.656491541150217</v>
      </c>
      <c r="K24" s="81">
        <f t="shared" si="9"/>
        <v>73.855146504456172</v>
      </c>
      <c r="L24" s="81">
        <f t="shared" si="9"/>
        <v>72.096690635302451</v>
      </c>
      <c r="M24" s="81">
        <f t="shared" si="9"/>
        <v>-8.2059839704492052</v>
      </c>
      <c r="N24" s="81">
        <f t="shared" si="9"/>
        <v>68.704386030580167</v>
      </c>
      <c r="O24" s="81">
        <f t="shared" si="9"/>
        <v>67.068567315566369</v>
      </c>
      <c r="P24" s="81">
        <f t="shared" si="9"/>
        <v>65.471696665195708</v>
      </c>
      <c r="Q24" s="81">
        <f t="shared" si="9"/>
        <v>63.912846744595818</v>
      </c>
      <c r="R24" s="81">
        <f t="shared" si="9"/>
        <v>27.558303237326207</v>
      </c>
      <c r="S24" s="81">
        <f t="shared" si="9"/>
        <v>60.905609624526946</v>
      </c>
      <c r="T24" s="81">
        <f t="shared" si="9"/>
        <v>59.455476062038208</v>
      </c>
      <c r="U24" s="81">
        <f t="shared" si="9"/>
        <v>58.039869489132549</v>
      </c>
      <c r="V24" s="81">
        <f t="shared" si="9"/>
        <v>56.657967834629382</v>
      </c>
      <c r="W24" s="82">
        <f t="shared" si="9"/>
        <v>2205.9099823385086</v>
      </c>
      <c r="X24" s="130"/>
    </row>
    <row r="25" spans="1:24">
      <c r="A25" s="79" t="s">
        <v>13</v>
      </c>
      <c r="B25" s="80" t="s">
        <v>102</v>
      </c>
      <c r="C25" s="81">
        <f>C23</f>
        <v>-2411.8736428716229</v>
      </c>
      <c r="D25" s="81">
        <f>SUM($C24:D24)</f>
        <v>-2324.4480070035529</v>
      </c>
      <c r="E25" s="81">
        <f>SUM($C24:E24)</f>
        <v>-2239.1039338942464</v>
      </c>
      <c r="F25" s="81">
        <f>SUM($C24:F24)</f>
        <v>-2155.791862525638</v>
      </c>
      <c r="G25" s="81">
        <f>SUM($C24:G24)</f>
        <v>-2074.463411903901</v>
      </c>
      <c r="H25" s="81">
        <f>SUM($C24:H24)</f>
        <v>-2039.39574995149</v>
      </c>
      <c r="I25" s="81">
        <f>SUM($C24:I24)</f>
        <v>-1961.8939781288482</v>
      </c>
      <c r="J25" s="81">
        <f>SUM($C24:J24)</f>
        <v>-1886.237486587698</v>
      </c>
      <c r="K25" s="81">
        <f>SUM($C24:K24)</f>
        <v>-1812.3823400832418</v>
      </c>
      <c r="L25" s="81">
        <f>SUM($C24:L24)</f>
        <v>-1740.2856494479395</v>
      </c>
      <c r="M25" s="81">
        <f>SUM($C24:M24)</f>
        <v>-1748.4916334183886</v>
      </c>
      <c r="N25" s="81">
        <f>SUM($C24:N24)</f>
        <v>-1679.7872473878083</v>
      </c>
      <c r="O25" s="81">
        <f>SUM($C24:O24)</f>
        <v>-1612.718680072242</v>
      </c>
      <c r="P25" s="81">
        <f>SUM($C24:P24)</f>
        <v>-1547.2469834070464</v>
      </c>
      <c r="Q25" s="81">
        <f>SUM($C24:Q24)</f>
        <v>-1483.3341366624506</v>
      </c>
      <c r="R25" s="81">
        <f>SUM($C24:R24)</f>
        <v>-1455.7758334251243</v>
      </c>
      <c r="S25" s="81">
        <f>SUM($C24:S24)</f>
        <v>-1394.8702238005974</v>
      </c>
      <c r="T25" s="81">
        <f>SUM($C24:T24)</f>
        <v>-1335.4147477385591</v>
      </c>
      <c r="U25" s="81">
        <f>SUM($C24:U24)</f>
        <v>-1277.3748782494265</v>
      </c>
      <c r="V25" s="81">
        <f>SUM($C24:V24)</f>
        <v>-1220.7169104147972</v>
      </c>
      <c r="W25" s="82">
        <f>SUM($C24:W24)</f>
        <v>985.19307192371139</v>
      </c>
      <c r="X25" s="130"/>
    </row>
    <row r="26" spans="1:24">
      <c r="A26" s="74"/>
      <c r="B26" s="75"/>
      <c r="C26" s="75"/>
      <c r="D26" s="83"/>
      <c r="F26" s="75"/>
      <c r="G26" s="75"/>
      <c r="I26" s="75"/>
      <c r="J26" s="75"/>
      <c r="K26" s="216"/>
      <c r="L26" s="75"/>
      <c r="M26" s="75"/>
      <c r="N26" s="216"/>
      <c r="O26" s="75"/>
      <c r="P26" s="75"/>
      <c r="Q26" s="216"/>
      <c r="R26" s="75"/>
      <c r="S26" s="75"/>
      <c r="T26" s="216"/>
      <c r="U26" s="75"/>
      <c r="V26" s="75"/>
      <c r="W26" s="76"/>
      <c r="X26" s="129"/>
    </row>
    <row r="27" spans="1:24">
      <c r="A27" s="74"/>
      <c r="B27" s="84" t="s">
        <v>103</v>
      </c>
      <c r="C27" s="75"/>
      <c r="D27" s="214" t="s">
        <v>104</v>
      </c>
      <c r="E27" s="341">
        <f>'Summary - Cash'!C9</f>
        <v>2.5000000000000001E-2</v>
      </c>
      <c r="F27" s="340"/>
      <c r="G27" s="214" t="s">
        <v>105</v>
      </c>
      <c r="H27" s="341">
        <f>'Summary - Cash'!F9</f>
        <v>0.05</v>
      </c>
      <c r="I27" s="340"/>
      <c r="J27" s="214" t="s">
        <v>106</v>
      </c>
      <c r="K27" s="218">
        <f>Energy!J24</f>
        <v>1184.4761706220279</v>
      </c>
      <c r="L27" s="215"/>
      <c r="M27" s="220" t="s">
        <v>153</v>
      </c>
      <c r="N27" s="221">
        <f>Energy!I24</f>
        <v>340.7351597212907</v>
      </c>
      <c r="O27" s="215"/>
      <c r="P27" s="219" t="s">
        <v>125</v>
      </c>
      <c r="Q27" s="218">
        <f>'Summary - Cash'!F34*'Summary - Cash'!B34</f>
        <v>1004.9473511965095</v>
      </c>
      <c r="R27" s="215"/>
      <c r="S27" s="219" t="s">
        <v>126</v>
      </c>
      <c r="T27" s="222">
        <f>'Summary - Cash'!G34*'Summary - Cash'!B34</f>
        <v>602.96841071790573</v>
      </c>
      <c r="U27" s="215"/>
      <c r="V27" s="75"/>
      <c r="W27" s="76"/>
      <c r="X27" s="129"/>
    </row>
    <row r="28" spans="1:24">
      <c r="A28" s="74"/>
      <c r="B28" s="75"/>
      <c r="C28" s="75"/>
      <c r="D28" s="75"/>
      <c r="F28" s="75"/>
      <c r="G28" s="75"/>
      <c r="H28" s="204"/>
      <c r="I28" s="75"/>
      <c r="J28" s="75"/>
      <c r="L28" s="75"/>
      <c r="M28" s="75"/>
      <c r="N28" s="204"/>
      <c r="O28" s="75"/>
      <c r="P28" s="75"/>
      <c r="Q28" s="204"/>
      <c r="R28" s="75"/>
      <c r="S28" s="75"/>
      <c r="T28" s="204"/>
      <c r="U28" s="75"/>
      <c r="V28" s="75"/>
      <c r="W28" s="76"/>
      <c r="X28" s="129"/>
    </row>
    <row r="29" spans="1:24">
      <c r="A29" s="74"/>
      <c r="B29" s="75"/>
      <c r="C29" s="75"/>
      <c r="D29" s="223" t="s">
        <v>107</v>
      </c>
      <c r="E29" s="218">
        <f>'Summary - Cash'!H14</f>
        <v>125</v>
      </c>
      <c r="F29" s="215" t="s">
        <v>119</v>
      </c>
      <c r="G29" s="336" t="s">
        <v>382</v>
      </c>
      <c r="H29" s="97"/>
      <c r="I29" s="85" t="s">
        <v>152</v>
      </c>
      <c r="J29" s="219" t="s">
        <v>108</v>
      </c>
      <c r="K29" s="218">
        <f>'Summary - Cash'!C10</f>
        <v>25</v>
      </c>
      <c r="L29" s="215" t="s">
        <v>119</v>
      </c>
      <c r="M29" s="86" t="s">
        <v>120</v>
      </c>
      <c r="N29" s="231">
        <v>0</v>
      </c>
      <c r="O29" s="88" t="s">
        <v>109</v>
      </c>
      <c r="P29" s="89" t="s">
        <v>118</v>
      </c>
      <c r="Q29" s="87"/>
      <c r="R29" s="75" t="s">
        <v>119</v>
      </c>
      <c r="S29" s="75"/>
      <c r="T29" s="75"/>
      <c r="U29" s="75"/>
      <c r="V29" s="75"/>
      <c r="W29" s="76"/>
      <c r="X29" s="129"/>
    </row>
    <row r="30" spans="1:24">
      <c r="A30" s="74"/>
      <c r="B30" s="75"/>
      <c r="C30" s="75"/>
      <c r="D30" s="75"/>
      <c r="E30" s="204"/>
      <c r="F30" s="75"/>
      <c r="G30" s="75"/>
      <c r="H30" s="75"/>
      <c r="I30" s="75"/>
      <c r="J30" s="75"/>
      <c r="K30" s="204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  <c r="X30" s="129"/>
    </row>
    <row r="31" spans="1:24">
      <c r="A31" s="94"/>
      <c r="B31" s="98" t="s">
        <v>121</v>
      </c>
      <c r="C31" s="95"/>
      <c r="D31" s="95"/>
      <c r="E31" s="95" t="s">
        <v>122</v>
      </c>
      <c r="F31" s="95"/>
      <c r="G31" s="95"/>
      <c r="H31" s="99">
        <f>IRR($C23:$W23)</f>
        <v>7.3026412273190261E-2</v>
      </c>
      <c r="I31" s="100"/>
      <c r="J31" s="100" t="s">
        <v>102</v>
      </c>
      <c r="K31" s="101">
        <f>$W25</f>
        <v>985.19307192371139</v>
      </c>
      <c r="L31" s="100"/>
      <c r="M31" s="100"/>
      <c r="N31" s="100"/>
      <c r="O31" s="100"/>
      <c r="P31" s="102" t="s">
        <v>123</v>
      </c>
      <c r="Q31" s="103">
        <f>MATCH(1,D25:W25)</f>
        <v>19</v>
      </c>
      <c r="R31" s="95"/>
      <c r="S31" s="95"/>
      <c r="T31" s="95"/>
      <c r="U31" s="95"/>
      <c r="V31" s="95"/>
      <c r="W31" s="96"/>
      <c r="X31" s="131"/>
    </row>
    <row r="33" spans="1:13">
      <c r="B33" s="2" t="s">
        <v>113</v>
      </c>
      <c r="D33" s="3"/>
      <c r="E33" s="3"/>
      <c r="F33" s="3"/>
      <c r="G33" s="3"/>
      <c r="H33" s="3"/>
    </row>
    <row r="34" spans="1:13">
      <c r="A34">
        <v>1</v>
      </c>
      <c r="B34" t="s">
        <v>369</v>
      </c>
      <c r="D34" s="4"/>
    </row>
    <row r="35" spans="1:13">
      <c r="A35">
        <v>2</v>
      </c>
      <c r="B35" t="s">
        <v>131</v>
      </c>
      <c r="L35" s="224"/>
      <c r="M35" s="138" t="s">
        <v>307</v>
      </c>
    </row>
    <row r="36" spans="1:13">
      <c r="A36">
        <v>3</v>
      </c>
      <c r="B36" s="138" t="s">
        <v>383</v>
      </c>
      <c r="L36" s="227"/>
      <c r="M36" s="138" t="s">
        <v>308</v>
      </c>
    </row>
    <row r="37" spans="1:13">
      <c r="A37">
        <v>4</v>
      </c>
      <c r="B37" s="138" t="s">
        <v>393</v>
      </c>
    </row>
    <row r="38" spans="1:13">
      <c r="A38">
        <v>5</v>
      </c>
      <c r="B38" s="138" t="s">
        <v>425</v>
      </c>
    </row>
    <row r="41" spans="1:13">
      <c r="B41" s="6"/>
    </row>
  </sheetData>
  <sheetProtection selectLockedCells="1"/>
  <printOptions horizontalCentered="1"/>
  <pageMargins left="1" right="1" top="2.25" bottom="1" header="0.5" footer="0.5"/>
  <pageSetup paperSize="3" scale="76" orientation="landscape" r:id="rId1"/>
  <headerFooter alignWithMargins="0">
    <oddHeader>&amp;L&amp;"Arial,Bold Italic"&amp;11Privileged and Confidential&amp;C&amp;"Arial,Bold Italic"&amp;11Ten Mile River Feasibility Study
Phase 1
&amp;R&amp;"Arial,Bold Italic"&amp;11&amp;A</oddHeader>
    <oddFooter>&amp;L&amp;G&amp;C&amp;"Arial,Bold Italic"For Planning Purposes Only&amp;R&amp;"Arial,Bold Italic"&amp;F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6"/>
  </sheetPr>
  <dimension ref="A1:AD41"/>
  <sheetViews>
    <sheetView view="pageBreakPreview" zoomScale="70" zoomScaleNormal="75" zoomScaleSheetLayoutView="70" workbookViewId="0">
      <selection activeCell="H11" sqref="H11"/>
    </sheetView>
  </sheetViews>
  <sheetFormatPr defaultRowHeight="12.75"/>
  <cols>
    <col min="1" max="1" width="4.5703125" customWidth="1"/>
    <col min="2" max="2" width="30.85546875" customWidth="1"/>
    <col min="3" max="3" width="9.28515625" bestFit="1" customWidth="1"/>
    <col min="4" max="4" width="9.42578125" bestFit="1" customWidth="1"/>
    <col min="5" max="7" width="9.28515625" bestFit="1" customWidth="1"/>
    <col min="8" max="8" width="9.85546875" bestFit="1" customWidth="1"/>
    <col min="9" max="9" width="9.28515625" bestFit="1" customWidth="1"/>
    <col min="10" max="10" width="12.28515625" customWidth="1"/>
    <col min="11" max="11" width="12.42578125" customWidth="1"/>
    <col min="12" max="23" width="9.28515625" bestFit="1" customWidth="1"/>
    <col min="24" max="24" width="25.28515625" style="112" customWidth="1"/>
  </cols>
  <sheetData>
    <row r="1" spans="1:30" ht="26.25" thickBot="1">
      <c r="A1" s="228" t="s">
        <v>0</v>
      </c>
      <c r="B1" s="229" t="s">
        <v>92</v>
      </c>
      <c r="C1" s="229">
        <v>0</v>
      </c>
      <c r="D1" s="229">
        <v>1</v>
      </c>
      <c r="E1" s="229">
        <v>2</v>
      </c>
      <c r="F1" s="229">
        <v>3</v>
      </c>
      <c r="G1" s="229">
        <v>4</v>
      </c>
      <c r="H1" s="229">
        <v>5</v>
      </c>
      <c r="I1" s="229">
        <v>6</v>
      </c>
      <c r="J1" s="229">
        <v>7</v>
      </c>
      <c r="K1" s="229">
        <v>8</v>
      </c>
      <c r="L1" s="229">
        <v>9</v>
      </c>
      <c r="M1" s="229">
        <v>10</v>
      </c>
      <c r="N1" s="229">
        <v>11</v>
      </c>
      <c r="O1" s="229">
        <v>12</v>
      </c>
      <c r="P1" s="229">
        <v>13</v>
      </c>
      <c r="Q1" s="229">
        <v>14</v>
      </c>
      <c r="R1" s="229">
        <v>15</v>
      </c>
      <c r="S1" s="229">
        <v>16</v>
      </c>
      <c r="T1" s="229">
        <v>17</v>
      </c>
      <c r="U1" s="229">
        <v>18</v>
      </c>
      <c r="V1" s="229">
        <v>19</v>
      </c>
      <c r="W1" s="230">
        <v>20</v>
      </c>
      <c r="X1" s="120" t="s">
        <v>199</v>
      </c>
      <c r="AA1" s="1"/>
      <c r="AB1" s="1"/>
      <c r="AC1" s="1"/>
      <c r="AD1" s="1"/>
    </row>
    <row r="2" spans="1:30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6"/>
      <c r="X2" s="129"/>
    </row>
    <row r="3" spans="1:30">
      <c r="A3" s="77">
        <v>1</v>
      </c>
      <c r="B3" s="78" t="s">
        <v>110</v>
      </c>
      <c r="C3" s="216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129"/>
    </row>
    <row r="4" spans="1:30">
      <c r="A4" s="79" t="s">
        <v>8</v>
      </c>
      <c r="B4" s="225" t="s">
        <v>93</v>
      </c>
      <c r="C4" s="227">
        <f>'Costs E (1-2 min flow)'!F137</f>
        <v>3519.011984739137</v>
      </c>
      <c r="D4" s="226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130"/>
    </row>
    <row r="5" spans="1:30" ht="14.25" customHeight="1">
      <c r="A5" s="79" t="s">
        <v>11</v>
      </c>
      <c r="B5" s="80" t="s">
        <v>94</v>
      </c>
      <c r="C5" s="197"/>
      <c r="D5" s="81">
        <f t="shared" ref="D5:W5" si="0">mwh*(0.015)*(1+esc)^(D$1-$C$1)</f>
        <v>11.024917505494987</v>
      </c>
      <c r="E5" s="81">
        <f t="shared" si="0"/>
        <v>11.300540443132361</v>
      </c>
      <c r="F5" s="81">
        <f t="shared" si="0"/>
        <v>11.583053954210669</v>
      </c>
      <c r="G5" s="81">
        <f t="shared" si="0"/>
        <v>11.872630303065936</v>
      </c>
      <c r="H5" s="81">
        <f t="shared" si="0"/>
        <v>12.169446060642583</v>
      </c>
      <c r="I5" s="81">
        <f t="shared" si="0"/>
        <v>12.473682212158646</v>
      </c>
      <c r="J5" s="81">
        <f t="shared" si="0"/>
        <v>12.785524267462613</v>
      </c>
      <c r="K5" s="81">
        <f t="shared" si="0"/>
        <v>13.105162374149177</v>
      </c>
      <c r="L5" s="81">
        <f t="shared" si="0"/>
        <v>13.432791433502905</v>
      </c>
      <c r="M5" s="81">
        <f t="shared" si="0"/>
        <v>13.768611219340476</v>
      </c>
      <c r="N5" s="81">
        <f t="shared" si="0"/>
        <v>14.112826499823989</v>
      </c>
      <c r="O5" s="81">
        <f t="shared" si="0"/>
        <v>14.465647162319588</v>
      </c>
      <c r="P5" s="81">
        <f t="shared" si="0"/>
        <v>14.827288341377576</v>
      </c>
      <c r="Q5" s="81">
        <f t="shared" si="0"/>
        <v>15.197970549912014</v>
      </c>
      <c r="R5" s="81">
        <f t="shared" si="0"/>
        <v>15.577919813659816</v>
      </c>
      <c r="S5" s="81">
        <f t="shared" si="0"/>
        <v>15.96736780900131</v>
      </c>
      <c r="T5" s="81">
        <f t="shared" si="0"/>
        <v>16.366552004226342</v>
      </c>
      <c r="U5" s="81">
        <f t="shared" si="0"/>
        <v>16.775715804332002</v>
      </c>
      <c r="V5" s="81">
        <f t="shared" si="0"/>
        <v>17.195108699440301</v>
      </c>
      <c r="W5" s="81">
        <f t="shared" si="0"/>
        <v>17.624986416926305</v>
      </c>
      <c r="X5" s="130"/>
    </row>
    <row r="6" spans="1:30">
      <c r="A6" s="79" t="s">
        <v>13</v>
      </c>
      <c r="B6" s="80" t="s">
        <v>95</v>
      </c>
      <c r="C6" s="81"/>
      <c r="D6" s="81"/>
      <c r="E6" s="81"/>
      <c r="F6" s="81"/>
      <c r="G6" s="81"/>
      <c r="H6" s="81">
        <f>50*(1+esc)^(H1-$C1)</f>
        <v>56.570410644531236</v>
      </c>
      <c r="I6" s="81"/>
      <c r="J6" s="81"/>
      <c r="K6" s="81"/>
      <c r="L6" s="81"/>
      <c r="M6" s="81">
        <f>100*(1+esc)^(M1-$C1)</f>
        <v>128.00845441963571</v>
      </c>
      <c r="N6" s="81"/>
      <c r="O6" s="81"/>
      <c r="P6" s="81"/>
      <c r="Q6" s="81"/>
      <c r="R6" s="81">
        <f>50*(1+esc)^(R1-$C1)</f>
        <v>72.414908324905525</v>
      </c>
      <c r="S6" s="81"/>
      <c r="T6" s="81"/>
      <c r="U6" s="81"/>
      <c r="V6" s="81"/>
      <c r="W6" s="82">
        <f>100*(1+esc)^(W1-$C1)</f>
        <v>163.86164402903955</v>
      </c>
      <c r="X6" s="130"/>
    </row>
    <row r="7" spans="1:30">
      <c r="A7" s="79" t="s">
        <v>16</v>
      </c>
      <c r="B7" s="332" t="s">
        <v>368</v>
      </c>
      <c r="C7" s="81"/>
      <c r="D7" s="81">
        <f t="shared" ref="D7:W7" si="1">(0.0025*$C$4*(1+esc)^(D$1-$C$1))</f>
        <v>9.0174682108940392</v>
      </c>
      <c r="E7" s="81">
        <f t="shared" si="1"/>
        <v>9.2429049161663901</v>
      </c>
      <c r="F7" s="81">
        <f t="shared" si="1"/>
        <v>9.4739775390705496</v>
      </c>
      <c r="G7" s="81">
        <f t="shared" si="1"/>
        <v>9.7108269775473115</v>
      </c>
      <c r="H7" s="81">
        <f t="shared" si="1"/>
        <v>9.9535976519859926</v>
      </c>
      <c r="I7" s="81">
        <f t="shared" si="1"/>
        <v>10.202437593285643</v>
      </c>
      <c r="J7" s="81">
        <f t="shared" si="1"/>
        <v>10.457498533117784</v>
      </c>
      <c r="K7" s="81">
        <f t="shared" si="1"/>
        <v>10.718935996445728</v>
      </c>
      <c r="L7" s="81">
        <f t="shared" si="1"/>
        <v>10.98690939635687</v>
      </c>
      <c r="M7" s="81">
        <f t="shared" si="1"/>
        <v>11.261582131265792</v>
      </c>
      <c r="N7" s="81">
        <f t="shared" si="1"/>
        <v>11.543121684547435</v>
      </c>
      <c r="O7" s="81">
        <f t="shared" si="1"/>
        <v>11.831699726661121</v>
      </c>
      <c r="P7" s="81">
        <f t="shared" si="1"/>
        <v>12.127492219827648</v>
      </c>
      <c r="Q7" s="81">
        <f t="shared" si="1"/>
        <v>12.430679525323338</v>
      </c>
      <c r="R7" s="81">
        <f t="shared" si="1"/>
        <v>12.741446513456424</v>
      </c>
      <c r="S7" s="81">
        <f t="shared" si="1"/>
        <v>13.059982676292833</v>
      </c>
      <c r="T7" s="81">
        <f t="shared" si="1"/>
        <v>13.386482243200151</v>
      </c>
      <c r="U7" s="81">
        <f t="shared" si="1"/>
        <v>13.721144299280155</v>
      </c>
      <c r="V7" s="81">
        <f t="shared" si="1"/>
        <v>14.06417290676216</v>
      </c>
      <c r="W7" s="81">
        <f t="shared" si="1"/>
        <v>14.415777229431212</v>
      </c>
      <c r="X7" s="130"/>
    </row>
    <row r="8" spans="1:30">
      <c r="A8" s="79" t="s">
        <v>19</v>
      </c>
      <c r="B8" s="332" t="s">
        <v>381</v>
      </c>
      <c r="C8" s="81"/>
      <c r="D8" s="81">
        <f t="shared" ref="D8:W8" si="2">(0.015*$C$4*(1+esc)^(D$1-$C$1))</f>
        <v>54.104809265364224</v>
      </c>
      <c r="E8" s="81">
        <f t="shared" si="2"/>
        <v>55.45742949699833</v>
      </c>
      <c r="F8" s="81">
        <f t="shared" si="2"/>
        <v>56.843865234423284</v>
      </c>
      <c r="G8" s="81">
        <f t="shared" si="2"/>
        <v>58.264961865283858</v>
      </c>
      <c r="H8" s="81">
        <f t="shared" si="2"/>
        <v>59.721585911915952</v>
      </c>
      <c r="I8" s="81">
        <f t="shared" si="2"/>
        <v>61.214625559713845</v>
      </c>
      <c r="J8" s="81">
        <f t="shared" si="2"/>
        <v>62.744991198706693</v>
      </c>
      <c r="K8" s="81">
        <f t="shared" si="2"/>
        <v>64.313615978674363</v>
      </c>
      <c r="L8" s="81">
        <f t="shared" si="2"/>
        <v>65.921456378141201</v>
      </c>
      <c r="M8" s="81">
        <f t="shared" si="2"/>
        <v>67.56949278759474</v>
      </c>
      <c r="N8" s="81">
        <f t="shared" si="2"/>
        <v>69.258730107284606</v>
      </c>
      <c r="O8" s="81">
        <f t="shared" si="2"/>
        <v>70.990198359966712</v>
      </c>
      <c r="P8" s="81">
        <f t="shared" si="2"/>
        <v>72.76495331896588</v>
      </c>
      <c r="Q8" s="81">
        <f t="shared" si="2"/>
        <v>74.584077151940022</v>
      </c>
      <c r="R8" s="81">
        <f t="shared" si="2"/>
        <v>76.448679080738529</v>
      </c>
      <c r="S8" s="81">
        <f t="shared" si="2"/>
        <v>78.359896057756984</v>
      </c>
      <c r="T8" s="81">
        <f t="shared" si="2"/>
        <v>80.318893459200893</v>
      </c>
      <c r="U8" s="81">
        <f t="shared" si="2"/>
        <v>82.326865795680931</v>
      </c>
      <c r="V8" s="81">
        <f t="shared" si="2"/>
        <v>84.385037440572944</v>
      </c>
      <c r="W8" s="81">
        <f t="shared" si="2"/>
        <v>86.494663376587255</v>
      </c>
      <c r="X8" s="130"/>
    </row>
    <row r="9" spans="1:30">
      <c r="A9" s="199" t="s">
        <v>21</v>
      </c>
      <c r="B9" s="200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2"/>
      <c r="X9" s="130"/>
    </row>
    <row r="10" spans="1:30">
      <c r="A10" s="195" t="s">
        <v>35</v>
      </c>
      <c r="B10" s="196" t="s">
        <v>96</v>
      </c>
      <c r="C10" s="197">
        <f t="shared" ref="C10:W10" si="3">SUM(C4:C9)</f>
        <v>3519.011984739137</v>
      </c>
      <c r="D10" s="197">
        <f t="shared" si="3"/>
        <v>74.147194981753245</v>
      </c>
      <c r="E10" s="197">
        <f t="shared" si="3"/>
        <v>76.000874856297088</v>
      </c>
      <c r="F10" s="197">
        <f t="shared" si="3"/>
        <v>77.900896727704506</v>
      </c>
      <c r="G10" s="197">
        <f t="shared" si="3"/>
        <v>79.848419145897111</v>
      </c>
      <c r="H10" s="197">
        <f t="shared" si="3"/>
        <v>138.41504026907575</v>
      </c>
      <c r="I10" s="197">
        <f t="shared" si="3"/>
        <v>83.890745365158125</v>
      </c>
      <c r="J10" s="197">
        <f t="shared" si="3"/>
        <v>85.988013999287091</v>
      </c>
      <c r="K10" s="197">
        <f t="shared" si="3"/>
        <v>88.13771434926926</v>
      </c>
      <c r="L10" s="197">
        <f t="shared" si="3"/>
        <v>90.341157208000979</v>
      </c>
      <c r="M10" s="197">
        <f>SUM(M4:M9)</f>
        <v>220.60814055783669</v>
      </c>
      <c r="N10" s="197">
        <f>SUM(N4:N9)</f>
        <v>94.914678291656031</v>
      </c>
      <c r="O10" s="197">
        <f t="shared" si="3"/>
        <v>97.287545248947424</v>
      </c>
      <c r="P10" s="197">
        <f t="shared" si="3"/>
        <v>99.719733880171106</v>
      </c>
      <c r="Q10" s="197">
        <f t="shared" si="3"/>
        <v>102.21272722717538</v>
      </c>
      <c r="R10" s="197">
        <f t="shared" si="3"/>
        <v>177.1829537327603</v>
      </c>
      <c r="S10" s="197">
        <f t="shared" si="3"/>
        <v>107.38724654305113</v>
      </c>
      <c r="T10" s="197">
        <f t="shared" si="3"/>
        <v>110.07192770662738</v>
      </c>
      <c r="U10" s="197">
        <f t="shared" si="3"/>
        <v>112.82372589929309</v>
      </c>
      <c r="V10" s="197">
        <f t="shared" si="3"/>
        <v>115.64431904677541</v>
      </c>
      <c r="W10" s="198">
        <f t="shared" si="3"/>
        <v>282.39707105198431</v>
      </c>
      <c r="X10" s="130"/>
    </row>
    <row r="11" spans="1:30">
      <c r="A11" s="74"/>
      <c r="B11" s="7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2"/>
      <c r="X11" s="130"/>
    </row>
    <row r="12" spans="1:30">
      <c r="A12" s="77">
        <v>2</v>
      </c>
      <c r="B12" s="78" t="s">
        <v>111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2"/>
      <c r="X12" s="130"/>
    </row>
    <row r="13" spans="1:30">
      <c r="A13" s="79" t="s">
        <v>8</v>
      </c>
      <c r="B13" s="80" t="s">
        <v>125</v>
      </c>
      <c r="C13" s="81">
        <f>$Q$27</f>
        <v>879.75299618478425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2"/>
      <c r="X13" s="130"/>
    </row>
    <row r="14" spans="1:30">
      <c r="A14" s="79" t="s">
        <v>11</v>
      </c>
      <c r="B14" s="80" t="s">
        <v>127</v>
      </c>
      <c r="C14" s="81">
        <f>T27</f>
        <v>527.85179771087053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  <c r="X14" s="130"/>
    </row>
    <row r="15" spans="1:30">
      <c r="A15" s="79" t="s">
        <v>13</v>
      </c>
      <c r="B15" s="80" t="s">
        <v>97</v>
      </c>
      <c r="C15" s="81"/>
      <c r="D15" s="81">
        <f t="shared" ref="D15:W15" si="4">0.001*mwh*$E$29*(1+esc)^(D$1-$C$1)</f>
        <v>91.874312545791554</v>
      </c>
      <c r="E15" s="81">
        <f t="shared" si="4"/>
        <v>94.171170359436346</v>
      </c>
      <c r="F15" s="81">
        <f t="shared" si="4"/>
        <v>96.525449618422257</v>
      </c>
      <c r="G15" s="81">
        <f t="shared" si="4"/>
        <v>98.938585858882803</v>
      </c>
      <c r="H15" s="81">
        <f t="shared" si="4"/>
        <v>101.41205050535486</v>
      </c>
      <c r="I15" s="81">
        <f t="shared" si="4"/>
        <v>103.94735176798872</v>
      </c>
      <c r="J15" s="81">
        <f t="shared" si="4"/>
        <v>106.54603556218845</v>
      </c>
      <c r="K15" s="81">
        <f t="shared" si="4"/>
        <v>109.20968645124314</v>
      </c>
      <c r="L15" s="81">
        <f t="shared" si="4"/>
        <v>111.93992861252421</v>
      </c>
      <c r="M15" s="81">
        <f t="shared" si="4"/>
        <v>114.73842682783732</v>
      </c>
      <c r="N15" s="81">
        <f t="shared" si="4"/>
        <v>117.60688749853324</v>
      </c>
      <c r="O15" s="81">
        <f t="shared" si="4"/>
        <v>120.54705968599657</v>
      </c>
      <c r="P15" s="81">
        <f t="shared" si="4"/>
        <v>123.56073617814647</v>
      </c>
      <c r="Q15" s="81">
        <f t="shared" si="4"/>
        <v>126.64975458260012</v>
      </c>
      <c r="R15" s="81">
        <f t="shared" si="4"/>
        <v>129.81599844716516</v>
      </c>
      <c r="S15" s="81">
        <f t="shared" si="4"/>
        <v>133.06139840834427</v>
      </c>
      <c r="T15" s="81">
        <f t="shared" si="4"/>
        <v>136.38793336855286</v>
      </c>
      <c r="U15" s="81">
        <f t="shared" si="4"/>
        <v>139.79763170276669</v>
      </c>
      <c r="V15" s="81">
        <f t="shared" si="4"/>
        <v>143.29257249533586</v>
      </c>
      <c r="W15" s="81">
        <f t="shared" si="4"/>
        <v>146.87488680771924</v>
      </c>
      <c r="X15" s="105"/>
    </row>
    <row r="16" spans="1:30">
      <c r="A16" s="79" t="s">
        <v>16</v>
      </c>
      <c r="B16" s="80" t="s">
        <v>98</v>
      </c>
      <c r="C16" s="81"/>
      <c r="D16" s="81">
        <f>0.001*mwh*rec*(1+esc)^(D$1-$C$1)</f>
        <v>18.374862509158312</v>
      </c>
      <c r="E16" s="81">
        <f t="shared" ref="E16:W16" si="5">0.001*mwh*rec*(1+esc)^(E$1-$C$1)</f>
        <v>18.83423407188727</v>
      </c>
      <c r="F16" s="81">
        <f t="shared" si="5"/>
        <v>19.305089923684452</v>
      </c>
      <c r="G16" s="81">
        <f t="shared" si="5"/>
        <v>19.78771717177656</v>
      </c>
      <c r="H16" s="81">
        <f t="shared" si="5"/>
        <v>20.282410101070973</v>
      </c>
      <c r="I16" s="81">
        <f t="shared" si="5"/>
        <v>20.789470353597746</v>
      </c>
      <c r="J16" s="81">
        <f t="shared" si="5"/>
        <v>21.30920711243769</v>
      </c>
      <c r="K16" s="81">
        <f t="shared" si="5"/>
        <v>21.84193729024863</v>
      </c>
      <c r="L16" s="81">
        <f t="shared" si="5"/>
        <v>22.38798572250484</v>
      </c>
      <c r="M16" s="81">
        <f t="shared" si="5"/>
        <v>22.947685365567462</v>
      </c>
      <c r="N16" s="81">
        <f t="shared" si="5"/>
        <v>23.521377499706649</v>
      </c>
      <c r="O16" s="81">
        <f t="shared" si="5"/>
        <v>24.109411937199312</v>
      </c>
      <c r="P16" s="81">
        <f t="shared" si="5"/>
        <v>24.712147235629295</v>
      </c>
      <c r="Q16" s="81">
        <f t="shared" si="5"/>
        <v>25.329950916520026</v>
      </c>
      <c r="R16" s="81">
        <f t="shared" si="5"/>
        <v>25.963199689433029</v>
      </c>
      <c r="S16" s="81">
        <f t="shared" si="5"/>
        <v>26.612279681668852</v>
      </c>
      <c r="T16" s="81">
        <f t="shared" si="5"/>
        <v>27.277586673710569</v>
      </c>
      <c r="U16" s="81">
        <f t="shared" si="5"/>
        <v>27.959526340553335</v>
      </c>
      <c r="V16" s="81">
        <f t="shared" si="5"/>
        <v>28.65851449906717</v>
      </c>
      <c r="W16" s="82">
        <f t="shared" si="5"/>
        <v>29.374977361543845</v>
      </c>
      <c r="X16" s="130"/>
    </row>
    <row r="17" spans="1:24">
      <c r="A17" s="79" t="s">
        <v>19</v>
      </c>
      <c r="B17" s="80" t="s">
        <v>117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2"/>
      <c r="X17" s="130"/>
    </row>
    <row r="18" spans="1:24">
      <c r="A18" s="79" t="s">
        <v>21</v>
      </c>
      <c r="B18" s="80" t="s">
        <v>150</v>
      </c>
      <c r="C18" s="81"/>
      <c r="D18" s="81">
        <f t="shared" ref="D18:W18" si="6">0.001*cap*12*(dem)*(1+esc)^(D$1-$C$1)</f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1">
        <f t="shared" si="6"/>
        <v>0</v>
      </c>
      <c r="P18" s="81">
        <f t="shared" si="6"/>
        <v>0</v>
      </c>
      <c r="Q18" s="81">
        <f t="shared" si="6"/>
        <v>0</v>
      </c>
      <c r="R18" s="81">
        <f t="shared" si="6"/>
        <v>0</v>
      </c>
      <c r="S18" s="81">
        <f t="shared" si="6"/>
        <v>0</v>
      </c>
      <c r="T18" s="81">
        <f t="shared" si="6"/>
        <v>0</v>
      </c>
      <c r="U18" s="81">
        <f t="shared" si="6"/>
        <v>0</v>
      </c>
      <c r="V18" s="81">
        <f t="shared" si="6"/>
        <v>0</v>
      </c>
      <c r="W18" s="82">
        <f t="shared" si="6"/>
        <v>0</v>
      </c>
      <c r="X18" s="130"/>
    </row>
    <row r="19" spans="1:24">
      <c r="A19" s="199" t="s">
        <v>35</v>
      </c>
      <c r="B19" s="356" t="s">
        <v>426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202">
        <f>IF($V$23&lt;=0,0,(1+esc)*$V$23/(dis-esc))</f>
        <v>2308.577485852732</v>
      </c>
      <c r="X19" s="130"/>
    </row>
    <row r="20" spans="1:24">
      <c r="A20" s="195" t="s">
        <v>36</v>
      </c>
      <c r="B20" s="196" t="s">
        <v>99</v>
      </c>
      <c r="C20" s="197">
        <f t="shared" ref="C20:V20" si="7">SUM(C13:C18)</f>
        <v>1407.6047938956549</v>
      </c>
      <c r="D20" s="197">
        <f t="shared" si="7"/>
        <v>110.24917505494986</v>
      </c>
      <c r="E20" s="197">
        <f t="shared" si="7"/>
        <v>113.00540443132361</v>
      </c>
      <c r="F20" s="197">
        <f t="shared" si="7"/>
        <v>115.83053954210671</v>
      </c>
      <c r="G20" s="197">
        <f t="shared" si="7"/>
        <v>118.72630303065937</v>
      </c>
      <c r="H20" s="197">
        <f t="shared" si="7"/>
        <v>121.69446060642582</v>
      </c>
      <c r="I20" s="197">
        <f t="shared" si="7"/>
        <v>124.73682212158647</v>
      </c>
      <c r="J20" s="197">
        <f t="shared" si="7"/>
        <v>127.85524267462614</v>
      </c>
      <c r="K20" s="197">
        <f t="shared" si="7"/>
        <v>131.05162374149177</v>
      </c>
      <c r="L20" s="197">
        <f t="shared" si="7"/>
        <v>134.32791433502905</v>
      </c>
      <c r="M20" s="197">
        <f t="shared" si="7"/>
        <v>137.68611219340477</v>
      </c>
      <c r="N20" s="197">
        <f t="shared" si="7"/>
        <v>141.1282649982399</v>
      </c>
      <c r="O20" s="197">
        <f t="shared" si="7"/>
        <v>144.6564716231959</v>
      </c>
      <c r="P20" s="197">
        <f t="shared" si="7"/>
        <v>148.27288341377576</v>
      </c>
      <c r="Q20" s="197">
        <f t="shared" si="7"/>
        <v>151.97970549912014</v>
      </c>
      <c r="R20" s="197">
        <f t="shared" si="7"/>
        <v>155.77919813659818</v>
      </c>
      <c r="S20" s="197">
        <f t="shared" si="7"/>
        <v>159.67367809001314</v>
      </c>
      <c r="T20" s="197">
        <f t="shared" si="7"/>
        <v>163.66552004226344</v>
      </c>
      <c r="U20" s="197">
        <f t="shared" si="7"/>
        <v>167.75715804332003</v>
      </c>
      <c r="V20" s="197">
        <f t="shared" si="7"/>
        <v>171.95108699440303</v>
      </c>
      <c r="W20" s="198">
        <f>SUM(W13:W19)</f>
        <v>2484.8273500219952</v>
      </c>
      <c r="X20" s="130"/>
    </row>
    <row r="21" spans="1:2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  <c r="X21" s="344">
        <f>0.5*C4*(1+esc)^20</f>
        <v>2883.1554458862424</v>
      </c>
    </row>
    <row r="22" spans="1:24">
      <c r="A22" s="77">
        <v>3</v>
      </c>
      <c r="B22" s="78" t="s">
        <v>112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6"/>
      <c r="X22" s="344">
        <f>(1+esc)*V23/(dis-esc)</f>
        <v>2308.577485852732</v>
      </c>
    </row>
    <row r="23" spans="1:24">
      <c r="A23" s="79" t="s">
        <v>8</v>
      </c>
      <c r="B23" s="80" t="s">
        <v>100</v>
      </c>
      <c r="C23" s="81">
        <f t="shared" ref="C23:W23" si="8">C20-C10</f>
        <v>-2111.4071908434821</v>
      </c>
      <c r="D23" s="81">
        <f t="shared" si="8"/>
        <v>36.101980073196614</v>
      </c>
      <c r="E23" s="81">
        <f t="shared" si="8"/>
        <v>37.004529575026524</v>
      </c>
      <c r="F23" s="81">
        <f t="shared" si="8"/>
        <v>37.9296428144022</v>
      </c>
      <c r="G23" s="81">
        <f t="shared" si="8"/>
        <v>38.877883884762255</v>
      </c>
      <c r="H23" s="81">
        <f t="shared" si="8"/>
        <v>-16.720579662649925</v>
      </c>
      <c r="I23" s="81">
        <f t="shared" si="8"/>
        <v>40.846076756428346</v>
      </c>
      <c r="J23" s="81">
        <f t="shared" si="8"/>
        <v>41.867228675339049</v>
      </c>
      <c r="K23" s="81">
        <f t="shared" si="8"/>
        <v>42.913909392222507</v>
      </c>
      <c r="L23" s="81">
        <f t="shared" si="8"/>
        <v>43.986757127028071</v>
      </c>
      <c r="M23" s="81">
        <f>M20-M10</f>
        <v>-82.922028364431924</v>
      </c>
      <c r="N23" s="81">
        <f t="shared" si="8"/>
        <v>46.213586706583868</v>
      </c>
      <c r="O23" s="81">
        <f t="shared" si="8"/>
        <v>47.368926374248474</v>
      </c>
      <c r="P23" s="81">
        <f t="shared" si="8"/>
        <v>48.553149533604653</v>
      </c>
      <c r="Q23" s="81">
        <f t="shared" si="8"/>
        <v>49.766978271944765</v>
      </c>
      <c r="R23" s="81">
        <f t="shared" si="8"/>
        <v>-21.403755596162114</v>
      </c>
      <c r="S23" s="81">
        <f t="shared" si="8"/>
        <v>52.286431546962007</v>
      </c>
      <c r="T23" s="81">
        <f t="shared" si="8"/>
        <v>53.59359233563606</v>
      </c>
      <c r="U23" s="81">
        <f t="shared" si="8"/>
        <v>54.933432144026938</v>
      </c>
      <c r="V23" s="81">
        <f t="shared" si="8"/>
        <v>56.30676794762762</v>
      </c>
      <c r="W23" s="82">
        <f t="shared" si="8"/>
        <v>2202.4302789700109</v>
      </c>
      <c r="X23" s="130"/>
    </row>
    <row r="24" spans="1:24">
      <c r="A24" s="79" t="s">
        <v>11</v>
      </c>
      <c r="B24" s="80" t="s">
        <v>101</v>
      </c>
      <c r="C24" s="81">
        <f>C23</f>
        <v>-2111.4071908434821</v>
      </c>
      <c r="D24" s="81">
        <f>D23/(1+dis)^(D$1-$C$1)</f>
        <v>34.382838164949156</v>
      </c>
      <c r="E24" s="81">
        <f t="shared" ref="E24:W24" si="9">E23/(1+dis)^(E$1-$C$1)</f>
        <v>33.56419916102179</v>
      </c>
      <c r="F24" s="81">
        <f t="shared" si="9"/>
        <v>32.765051561949853</v>
      </c>
      <c r="G24" s="81">
        <f t="shared" si="9"/>
        <v>31.984931286665333</v>
      </c>
      <c r="H24" s="81">
        <f t="shared" si="9"/>
        <v>-13.101011684206574</v>
      </c>
      <c r="I24" s="81">
        <f t="shared" si="9"/>
        <v>30.479971367848314</v>
      </c>
      <c r="J24" s="81">
        <f t="shared" si="9"/>
        <v>29.754257763851918</v>
      </c>
      <c r="K24" s="81">
        <f t="shared" si="9"/>
        <v>29.04582305518877</v>
      </c>
      <c r="L24" s="81">
        <f t="shared" si="9"/>
        <v>28.354255839589033</v>
      </c>
      <c r="M24" s="81">
        <f t="shared" si="9"/>
        <v>-50.90693222340753</v>
      </c>
      <c r="N24" s="81">
        <f t="shared" si="9"/>
        <v>27.020127021739889</v>
      </c>
      <c r="O24" s="81">
        <f t="shared" si="9"/>
        <v>26.376790664079426</v>
      </c>
      <c r="P24" s="81">
        <f t="shared" si="9"/>
        <v>25.74877183874418</v>
      </c>
      <c r="Q24" s="81">
        <f t="shared" si="9"/>
        <v>25.135705842583608</v>
      </c>
      <c r="R24" s="81">
        <f t="shared" si="9"/>
        <v>-10.295572405114264</v>
      </c>
      <c r="S24" s="81">
        <f t="shared" si="9"/>
        <v>23.953016735477927</v>
      </c>
      <c r="T24" s="81">
        <f t="shared" si="9"/>
        <v>23.382706813204642</v>
      </c>
      <c r="U24" s="81">
        <f t="shared" si="9"/>
        <v>22.825975698604523</v>
      </c>
      <c r="V24" s="81">
        <f t="shared" si="9"/>
        <v>22.282500086732988</v>
      </c>
      <c r="W24" s="82">
        <f t="shared" si="9"/>
        <v>830.07280890484583</v>
      </c>
      <c r="X24" s="130"/>
    </row>
    <row r="25" spans="1:24">
      <c r="A25" s="79" t="s">
        <v>13</v>
      </c>
      <c r="B25" s="80" t="s">
        <v>102</v>
      </c>
      <c r="C25" s="81">
        <f>C23</f>
        <v>-2111.4071908434821</v>
      </c>
      <c r="D25" s="81">
        <f>SUM($C24:D24)</f>
        <v>-2077.024352678533</v>
      </c>
      <c r="E25" s="81">
        <f>SUM($C24:E24)</f>
        <v>-2043.4601535175111</v>
      </c>
      <c r="F25" s="81">
        <f>SUM($C24:F24)</f>
        <v>-2010.6951019555613</v>
      </c>
      <c r="G25" s="81">
        <f>SUM($C24:G24)</f>
        <v>-1978.7101706688959</v>
      </c>
      <c r="H25" s="81">
        <f>SUM($C24:H24)</f>
        <v>-1991.8111823531024</v>
      </c>
      <c r="I25" s="81">
        <f>SUM($C24:I24)</f>
        <v>-1961.3312109852541</v>
      </c>
      <c r="J25" s="81">
        <f>SUM($C24:J24)</f>
        <v>-1931.5769532214022</v>
      </c>
      <c r="K25" s="81">
        <f>SUM($C24:K24)</f>
        <v>-1902.5311301662134</v>
      </c>
      <c r="L25" s="81">
        <f>SUM($C24:L24)</f>
        <v>-1874.1768743266243</v>
      </c>
      <c r="M25" s="81">
        <f>SUM($C24:M24)</f>
        <v>-1925.0838065500318</v>
      </c>
      <c r="N25" s="81">
        <f>SUM($C24:N24)</f>
        <v>-1898.0636795282919</v>
      </c>
      <c r="O25" s="81">
        <f>SUM($C24:O24)</f>
        <v>-1871.6868888642125</v>
      </c>
      <c r="P25" s="81">
        <f>SUM($C24:P24)</f>
        <v>-1845.9381170254683</v>
      </c>
      <c r="Q25" s="81">
        <f>SUM($C24:Q24)</f>
        <v>-1820.8024111828847</v>
      </c>
      <c r="R25" s="81">
        <f>SUM($C24:R24)</f>
        <v>-1831.0979835879989</v>
      </c>
      <c r="S25" s="81">
        <f>SUM($C24:S24)</f>
        <v>-1807.1449668525211</v>
      </c>
      <c r="T25" s="81">
        <f>SUM($C24:T24)</f>
        <v>-1783.7622600393165</v>
      </c>
      <c r="U25" s="81">
        <f>SUM($C24:U24)</f>
        <v>-1760.9362843407121</v>
      </c>
      <c r="V25" s="81">
        <f>SUM($C24:V24)</f>
        <v>-1738.653784253979</v>
      </c>
      <c r="W25" s="82">
        <f>SUM($C24:W24)</f>
        <v>-908.58097534913315</v>
      </c>
      <c r="X25" s="130"/>
    </row>
    <row r="26" spans="1:24">
      <c r="A26" s="74"/>
      <c r="B26" s="75"/>
      <c r="C26" s="75"/>
      <c r="D26" s="83"/>
      <c r="F26" s="75"/>
      <c r="G26" s="75"/>
      <c r="I26" s="75"/>
      <c r="J26" s="75"/>
      <c r="K26" s="216"/>
      <c r="L26" s="75"/>
      <c r="M26" s="75"/>
      <c r="N26" s="216"/>
      <c r="O26" s="75"/>
      <c r="P26" s="75"/>
      <c r="Q26" s="216"/>
      <c r="R26" s="75"/>
      <c r="S26" s="75"/>
      <c r="T26" s="216"/>
      <c r="U26" s="75"/>
      <c r="V26" s="75"/>
      <c r="W26" s="76"/>
      <c r="X26" s="129"/>
    </row>
    <row r="27" spans="1:24">
      <c r="A27" s="74"/>
      <c r="B27" s="84" t="s">
        <v>103</v>
      </c>
      <c r="C27" s="75"/>
      <c r="D27" s="214" t="s">
        <v>104</v>
      </c>
      <c r="E27" s="341">
        <f>'Summary - Cash'!C9</f>
        <v>2.5000000000000001E-2</v>
      </c>
      <c r="F27" s="340"/>
      <c r="G27" s="214" t="s">
        <v>105</v>
      </c>
      <c r="H27" s="341">
        <f>'Summary - Cash'!F9</f>
        <v>0.05</v>
      </c>
      <c r="I27" s="340"/>
      <c r="J27" s="214" t="s">
        <v>106</v>
      </c>
      <c r="K27" s="218">
        <f>Energy!J18</f>
        <v>717.06780523544637</v>
      </c>
      <c r="L27" s="215"/>
      <c r="M27" s="220" t="s">
        <v>153</v>
      </c>
      <c r="N27" s="221">
        <f>Energy!I18</f>
        <v>208.65145985234972</v>
      </c>
      <c r="O27" s="215"/>
      <c r="P27" s="219" t="s">
        <v>125</v>
      </c>
      <c r="Q27" s="218">
        <f>'Summary - Cash'!F28*'Summary - Cash'!B28</f>
        <v>879.75299618478425</v>
      </c>
      <c r="R27" s="215"/>
      <c r="S27" s="219" t="s">
        <v>126</v>
      </c>
      <c r="T27" s="222">
        <f>'Summary - Cash'!G28*'Summary - Cash'!B28</f>
        <v>527.85179771087053</v>
      </c>
      <c r="U27" s="215"/>
      <c r="V27" s="75"/>
      <c r="W27" s="76"/>
      <c r="X27" s="129"/>
    </row>
    <row r="28" spans="1:24">
      <c r="A28" s="74"/>
      <c r="B28" s="75"/>
      <c r="C28" s="75"/>
      <c r="D28" s="75"/>
      <c r="F28" s="75"/>
      <c r="G28" s="75"/>
      <c r="H28" s="204"/>
      <c r="I28" s="75"/>
      <c r="J28" s="75"/>
      <c r="L28" s="75"/>
      <c r="M28" s="75"/>
      <c r="N28" s="204"/>
      <c r="O28" s="75"/>
      <c r="P28" s="75"/>
      <c r="Q28" s="204"/>
      <c r="R28" s="75"/>
      <c r="S28" s="75"/>
      <c r="T28" s="204"/>
      <c r="U28" s="75"/>
      <c r="V28" s="75"/>
      <c r="W28" s="76"/>
      <c r="X28" s="129"/>
    </row>
    <row r="29" spans="1:24">
      <c r="A29" s="74"/>
      <c r="B29" s="75"/>
      <c r="C29" s="75"/>
      <c r="D29" s="223" t="s">
        <v>107</v>
      </c>
      <c r="E29" s="218">
        <f>'Summary - Cash'!H14</f>
        <v>125</v>
      </c>
      <c r="F29" s="215" t="s">
        <v>119</v>
      </c>
      <c r="G29" s="336" t="s">
        <v>382</v>
      </c>
      <c r="H29" s="97"/>
      <c r="I29" s="85" t="s">
        <v>152</v>
      </c>
      <c r="J29" s="219" t="s">
        <v>108</v>
      </c>
      <c r="K29" s="218">
        <f>'Summary - Cash'!C10</f>
        <v>25</v>
      </c>
      <c r="L29" s="215" t="s">
        <v>119</v>
      </c>
      <c r="M29" s="86" t="s">
        <v>120</v>
      </c>
      <c r="N29" s="231">
        <v>0</v>
      </c>
      <c r="O29" s="88" t="s">
        <v>109</v>
      </c>
      <c r="P29" s="89" t="s">
        <v>118</v>
      </c>
      <c r="Q29" s="87"/>
      <c r="R29" s="75" t="s">
        <v>119</v>
      </c>
      <c r="S29" s="75"/>
      <c r="T29" s="75"/>
      <c r="U29" s="75"/>
      <c r="V29" s="75"/>
      <c r="W29" s="76"/>
      <c r="X29" s="129"/>
    </row>
    <row r="30" spans="1:24">
      <c r="A30" s="74"/>
      <c r="B30" s="75"/>
      <c r="C30" s="75"/>
      <c r="D30" s="75"/>
      <c r="E30" s="204"/>
      <c r="F30" s="75"/>
      <c r="G30" s="75"/>
      <c r="H30" s="75"/>
      <c r="I30" s="75"/>
      <c r="J30" s="75"/>
      <c r="K30" s="204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  <c r="X30" s="129"/>
    </row>
    <row r="31" spans="1:24">
      <c r="A31" s="94"/>
      <c r="B31" s="98" t="s">
        <v>121</v>
      </c>
      <c r="C31" s="95"/>
      <c r="D31" s="95"/>
      <c r="E31" s="95" t="s">
        <v>122</v>
      </c>
      <c r="F31" s="95"/>
      <c r="G31" s="95"/>
      <c r="H31" s="99">
        <f>IRR($C23:$W23)</f>
        <v>1.6140382395467737E-2</v>
      </c>
      <c r="I31" s="100"/>
      <c r="J31" s="100" t="s">
        <v>102</v>
      </c>
      <c r="K31" s="101">
        <f>$W25</f>
        <v>-908.58097534913315</v>
      </c>
      <c r="L31" s="100"/>
      <c r="M31" s="100"/>
      <c r="N31" s="100"/>
      <c r="O31" s="100"/>
      <c r="P31" s="102" t="s">
        <v>123</v>
      </c>
      <c r="Q31" s="103">
        <f>MATCH(1,D25:W25)</f>
        <v>20</v>
      </c>
      <c r="R31" s="95"/>
      <c r="S31" s="95"/>
      <c r="T31" s="95"/>
      <c r="U31" s="95"/>
      <c r="V31" s="95"/>
      <c r="W31" s="96"/>
      <c r="X31" s="131"/>
    </row>
    <row r="33" spans="1:13">
      <c r="B33" s="2" t="s">
        <v>113</v>
      </c>
      <c r="D33" s="3"/>
      <c r="E33" s="3"/>
      <c r="F33" s="3"/>
      <c r="G33" s="3"/>
      <c r="H33" s="3"/>
    </row>
    <row r="34" spans="1:13">
      <c r="A34">
        <v>1</v>
      </c>
      <c r="B34" t="s">
        <v>369</v>
      </c>
      <c r="D34" s="4"/>
    </row>
    <row r="35" spans="1:13">
      <c r="A35">
        <v>2</v>
      </c>
      <c r="B35" t="s">
        <v>131</v>
      </c>
      <c r="L35" s="224"/>
      <c r="M35" s="138" t="s">
        <v>307</v>
      </c>
    </row>
    <row r="36" spans="1:13">
      <c r="A36">
        <v>3</v>
      </c>
      <c r="B36" s="138" t="s">
        <v>383</v>
      </c>
      <c r="L36" s="227"/>
      <c r="M36" s="138" t="s">
        <v>308</v>
      </c>
    </row>
    <row r="37" spans="1:13">
      <c r="A37">
        <v>4</v>
      </c>
      <c r="B37" s="138" t="s">
        <v>393</v>
      </c>
    </row>
    <row r="38" spans="1:13">
      <c r="A38">
        <v>5</v>
      </c>
      <c r="B38" s="138" t="s">
        <v>425</v>
      </c>
    </row>
    <row r="41" spans="1:13">
      <c r="B41" s="6"/>
    </row>
  </sheetData>
  <sheetProtection selectLockedCells="1"/>
  <printOptions horizontalCentered="1"/>
  <pageMargins left="1" right="1" top="2.25" bottom="1" header="0.5" footer="0.5"/>
  <pageSetup paperSize="3" scale="80" orientation="landscape" r:id="rId1"/>
  <headerFooter alignWithMargins="0">
    <oddHeader>&amp;L&amp;"Arial,Bold Italic"&amp;11Privileged and Confidential&amp;C&amp;"Arial,Bold Italic"&amp;11Ten Mile River Feasibility Study
Phase 1
&amp;R&amp;"Arial,Bold Italic"&amp;11&amp;A</oddHeader>
    <oddFooter>&amp;L&amp;G&amp;C&amp;"Arial,Bold Italic"For Planning Purposes Only&amp;R&amp;"Arial,Bold Italic"&amp;F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"/>
  <sheetViews>
    <sheetView workbookViewId="0"/>
  </sheetViews>
  <sheetFormatPr defaultRowHeight="12.75"/>
  <cols>
    <col min="1" max="1" width="7.7109375" style="55" customWidth="1"/>
    <col min="2" max="16384" width="9.140625" style="55"/>
  </cols>
  <sheetData>
    <row r="1" spans="1:9" ht="15" customHeight="1">
      <c r="B1" s="368" t="s">
        <v>408</v>
      </c>
      <c r="C1" s="368"/>
      <c r="D1" s="368"/>
      <c r="E1" s="368"/>
      <c r="F1" s="368"/>
    </row>
    <row r="3" spans="1:9" ht="38.25">
      <c r="A3" s="347" t="s">
        <v>211</v>
      </c>
      <c r="B3" s="236" t="s">
        <v>411</v>
      </c>
      <c r="C3" s="236" t="s">
        <v>410</v>
      </c>
      <c r="D3" s="347" t="s">
        <v>409</v>
      </c>
      <c r="E3" s="347" t="s">
        <v>188</v>
      </c>
      <c r="F3" s="236" t="s">
        <v>414</v>
      </c>
    </row>
    <row r="4" spans="1:9" ht="15" customHeight="1">
      <c r="A4" s="347" t="s">
        <v>404</v>
      </c>
      <c r="B4" s="347"/>
      <c r="C4" s="347"/>
      <c r="D4" s="347"/>
      <c r="E4" s="347"/>
      <c r="F4" s="347"/>
      <c r="G4" s="59"/>
      <c r="H4" s="59"/>
      <c r="I4" s="59"/>
    </row>
    <row r="5" spans="1:9" ht="15" customHeight="1">
      <c r="A5" s="349" t="s">
        <v>165</v>
      </c>
      <c r="B5" s="352">
        <f>'Summary - Cash'!B14</f>
        <v>3326.1606763089185</v>
      </c>
      <c r="C5" s="350">
        <f>'Summary - Cash'!C14</f>
        <v>204.50209102286885</v>
      </c>
      <c r="D5" s="352">
        <f>'Summary - Cash'!D14</f>
        <v>16264.678075770697</v>
      </c>
      <c r="E5" s="351">
        <f>'Summary - Cash'!I14</f>
        <v>2.520592783790163E-2</v>
      </c>
      <c r="F5" s="352">
        <f>'Summary - Cash'!J14</f>
        <v>-665.41013462219985</v>
      </c>
      <c r="G5" s="59"/>
      <c r="H5" s="59"/>
      <c r="I5" s="59"/>
    </row>
    <row r="6" spans="1:9" ht="15" customHeight="1">
      <c r="A6" s="349" t="s">
        <v>166</v>
      </c>
      <c r="B6" s="352">
        <f>'Summary - Cash'!B15</f>
        <v>4366.4040088738402</v>
      </c>
      <c r="C6" s="350">
        <f>'Summary - Cash'!C15</f>
        <v>155.61405020188778</v>
      </c>
      <c r="D6" s="352">
        <f>'Summary - Cash'!D15</f>
        <v>28059.188763540518</v>
      </c>
      <c r="E6" s="351" t="e">
        <f>'Summary - Cash'!I15</f>
        <v>#DIV/0!</v>
      </c>
      <c r="F6" s="352">
        <f>'Summary - Cash'!J15</f>
        <v>-3072.8712617974425</v>
      </c>
      <c r="G6" s="59"/>
      <c r="H6" s="59"/>
      <c r="I6" s="59"/>
    </row>
    <row r="7" spans="1:9" ht="15" customHeight="1">
      <c r="A7" s="349" t="s">
        <v>167</v>
      </c>
      <c r="B7" s="352">
        <f>'Summary - Cash'!B16</f>
        <v>4720.7115984317606</v>
      </c>
      <c r="C7" s="350">
        <f>'Summary - Cash'!C16</f>
        <v>287.65021400955015</v>
      </c>
      <c r="D7" s="352">
        <f>'Summary - Cash'!D16</f>
        <v>16411.291799960316</v>
      </c>
      <c r="E7" s="351">
        <f>'Summary - Cash'!I16</f>
        <v>-1.1556840833269513E-2</v>
      </c>
      <c r="F7" s="352">
        <f>'Summary - Cash'!J16</f>
        <v>-1858.3048394386769</v>
      </c>
      <c r="G7" s="59"/>
      <c r="H7" s="59"/>
      <c r="I7" s="59"/>
    </row>
    <row r="8" spans="1:9" ht="15" customHeight="1">
      <c r="B8" s="352"/>
      <c r="C8" s="59"/>
      <c r="D8" s="352"/>
      <c r="E8" s="59"/>
      <c r="F8" s="352"/>
      <c r="G8" s="59"/>
      <c r="H8" s="59"/>
      <c r="I8" s="59"/>
    </row>
    <row r="9" spans="1:9" ht="15" customHeight="1">
      <c r="A9" s="108" t="s">
        <v>405</v>
      </c>
      <c r="B9" s="352"/>
      <c r="C9" s="59"/>
      <c r="D9" s="352"/>
      <c r="E9" s="59"/>
      <c r="F9" s="352"/>
      <c r="G9" s="59"/>
      <c r="H9" s="59"/>
      <c r="I9" s="59"/>
    </row>
    <row r="10" spans="1:9" ht="15" customHeight="1">
      <c r="A10" s="349" t="s">
        <v>224</v>
      </c>
      <c r="B10" s="352">
        <f>'Summary - Cash'!B18</f>
        <v>3363.7446763089183</v>
      </c>
      <c r="C10" s="350">
        <f>'Summary - Cash'!C18</f>
        <v>111.64708753140407</v>
      </c>
      <c r="D10" s="352">
        <f>'Summary - Cash'!D18</f>
        <v>30128.369227390413</v>
      </c>
      <c r="E10" s="351" t="e">
        <f>'Summary - Cash'!I18</f>
        <v>#DIV/0!</v>
      </c>
      <c r="F10" s="352">
        <f>'Summary - Cash'!J18</f>
        <v>-2313.9549791592613</v>
      </c>
      <c r="G10" s="59"/>
      <c r="H10" s="59"/>
      <c r="I10" s="59"/>
    </row>
    <row r="11" spans="1:9" ht="15" customHeight="1">
      <c r="A11" s="349" t="s">
        <v>225</v>
      </c>
      <c r="B11" s="352">
        <f>'Summary - Cash'!B19</f>
        <v>3325.6498013789601</v>
      </c>
      <c r="C11" s="350">
        <f>'Summary - Cash'!C19</f>
        <v>184.08434802291492</v>
      </c>
      <c r="D11" s="352">
        <f>'Summary - Cash'!D19</f>
        <v>18065.902055752082</v>
      </c>
      <c r="E11" s="351" t="e">
        <f>'Summary - Cash'!I19</f>
        <v>#NUM!</v>
      </c>
      <c r="F11" s="352">
        <f>'Summary - Cash'!J19</f>
        <v>-1707.485810752398</v>
      </c>
      <c r="G11" s="59"/>
      <c r="H11" s="59"/>
      <c r="I11" s="59"/>
    </row>
    <row r="12" spans="1:9" ht="15" customHeight="1">
      <c r="B12" s="352"/>
      <c r="C12" s="59"/>
      <c r="D12" s="352"/>
      <c r="E12" s="59"/>
      <c r="F12" s="352"/>
      <c r="G12" s="59"/>
      <c r="H12" s="59"/>
      <c r="I12" s="59"/>
    </row>
    <row r="13" spans="1:9" ht="15" customHeight="1">
      <c r="A13" s="108" t="s">
        <v>208</v>
      </c>
      <c r="B13" s="352"/>
      <c r="C13" s="59"/>
      <c r="D13" s="352"/>
      <c r="E13" s="59"/>
      <c r="F13" s="352"/>
      <c r="G13" s="59"/>
      <c r="H13" s="59"/>
      <c r="I13" s="59"/>
    </row>
    <row r="14" spans="1:9" ht="15" customHeight="1">
      <c r="A14" s="349" t="s">
        <v>226</v>
      </c>
      <c r="B14" s="352">
        <f>'Summary - Cash'!B22</f>
        <v>3276.9126763089184</v>
      </c>
      <c r="C14" s="350">
        <f>'Summary - Cash'!C22</f>
        <v>103.90917057378202</v>
      </c>
      <c r="D14" s="352">
        <f>'Summary - Cash'!D22</f>
        <v>31536.318288500868</v>
      </c>
      <c r="E14" s="351" t="e">
        <f>'Summary - Cash'!I22</f>
        <v>#DIV/0!</v>
      </c>
      <c r="F14" s="352">
        <f>'Summary - Cash'!J22</f>
        <v>-2293.6661180695492</v>
      </c>
      <c r="G14" s="59"/>
      <c r="H14" s="59"/>
      <c r="I14" s="59"/>
    </row>
    <row r="15" spans="1:9" ht="15" customHeight="1">
      <c r="B15" s="59"/>
      <c r="C15" s="59"/>
      <c r="D15" s="352"/>
      <c r="E15" s="59"/>
      <c r="F15" s="59"/>
      <c r="G15" s="59"/>
      <c r="H15" s="59"/>
      <c r="I15" s="59"/>
    </row>
    <row r="16" spans="1:9" ht="15" customHeight="1">
      <c r="B16" s="59"/>
      <c r="C16" s="59"/>
      <c r="D16" s="59"/>
      <c r="E16" s="59"/>
      <c r="F16" s="59"/>
      <c r="G16" s="59"/>
      <c r="H16" s="59"/>
      <c r="I16" s="59"/>
    </row>
    <row r="17" spans="2:9" ht="15" customHeight="1">
      <c r="B17" s="59"/>
      <c r="C17" s="59"/>
      <c r="D17" s="59"/>
      <c r="E17" s="59"/>
      <c r="F17" s="59"/>
      <c r="G17" s="59"/>
      <c r="H17" s="59"/>
      <c r="I17" s="59"/>
    </row>
    <row r="18" spans="2:9">
      <c r="B18" s="59"/>
      <c r="C18" s="59"/>
      <c r="D18" s="59"/>
      <c r="E18" s="59"/>
      <c r="F18" s="59"/>
      <c r="G18" s="59"/>
      <c r="H18" s="59"/>
      <c r="I18" s="59"/>
    </row>
    <row r="19" spans="2:9">
      <c r="B19" s="59"/>
      <c r="C19" s="59"/>
      <c r="D19" s="59"/>
      <c r="E19" s="59"/>
      <c r="F19" s="59"/>
      <c r="G19" s="59"/>
      <c r="H19" s="59"/>
      <c r="I19" s="59"/>
    </row>
    <row r="20" spans="2:9">
      <c r="B20" s="59"/>
      <c r="C20" s="59"/>
      <c r="D20" s="59"/>
      <c r="E20" s="59"/>
      <c r="F20" s="59"/>
      <c r="G20" s="59"/>
      <c r="H20" s="59"/>
      <c r="I20" s="59"/>
    </row>
    <row r="21" spans="2:9">
      <c r="B21" s="59"/>
      <c r="C21" s="59"/>
      <c r="D21" s="59"/>
      <c r="E21" s="59"/>
      <c r="F21" s="59"/>
      <c r="G21" s="59"/>
      <c r="H21" s="59"/>
      <c r="I21" s="59"/>
    </row>
    <row r="22" spans="2:9">
      <c r="B22" s="59"/>
      <c r="C22" s="59"/>
      <c r="D22" s="59"/>
      <c r="E22" s="59"/>
      <c r="F22" s="59"/>
      <c r="G22" s="59"/>
      <c r="H22" s="59"/>
      <c r="I22" s="59"/>
    </row>
  </sheetData>
  <mergeCells count="1">
    <mergeCell ref="B1:F1"/>
  </mergeCells>
  <conditionalFormatting sqref="B4:I22">
    <cfRule type="containsErrors" dxfId="27" priority="1">
      <formula>ISERROR(B4)</formula>
    </cfRule>
  </conditionalFormatting>
  <printOptions horizontalCentered="1"/>
  <pageMargins left="0.7" right="0.7" top="0.75" bottom="0.75" header="0.3" footer="0.3"/>
  <pageSetup orientation="portrait" r:id="rId1"/>
  <headerFooter>
    <oddHeader>&amp;LEast Providence&amp;C Ten Mile River Feasibility Study&amp;R&amp;A</oddHeader>
    <oddFooter>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6"/>
  </sheetPr>
  <dimension ref="A1:AD41"/>
  <sheetViews>
    <sheetView view="pageBreakPreview" zoomScale="75" zoomScaleNormal="75" zoomScaleSheetLayoutView="75" workbookViewId="0">
      <selection activeCell="H11" sqref="H11"/>
    </sheetView>
  </sheetViews>
  <sheetFormatPr defaultRowHeight="12.75"/>
  <cols>
    <col min="1" max="1" width="4.5703125" customWidth="1"/>
    <col min="2" max="2" width="30.85546875" customWidth="1"/>
    <col min="3" max="3" width="9.28515625" bestFit="1" customWidth="1"/>
    <col min="4" max="4" width="9.42578125" bestFit="1" customWidth="1"/>
    <col min="5" max="7" width="9.28515625" bestFit="1" customWidth="1"/>
    <col min="8" max="8" width="9.85546875" bestFit="1" customWidth="1"/>
    <col min="9" max="9" width="9.28515625" bestFit="1" customWidth="1"/>
    <col min="10" max="10" width="12.28515625" customWidth="1"/>
    <col min="11" max="11" width="12.42578125" customWidth="1"/>
    <col min="12" max="23" width="9.28515625" bestFit="1" customWidth="1"/>
    <col min="24" max="24" width="25.28515625" style="112" customWidth="1"/>
  </cols>
  <sheetData>
    <row r="1" spans="1:30" ht="26.25" thickBot="1">
      <c r="A1" s="228" t="s">
        <v>0</v>
      </c>
      <c r="B1" s="229" t="s">
        <v>92</v>
      </c>
      <c r="C1" s="229">
        <v>0</v>
      </c>
      <c r="D1" s="229">
        <v>1</v>
      </c>
      <c r="E1" s="229">
        <v>2</v>
      </c>
      <c r="F1" s="229">
        <v>3</v>
      </c>
      <c r="G1" s="229">
        <v>4</v>
      </c>
      <c r="H1" s="229">
        <v>5</v>
      </c>
      <c r="I1" s="229">
        <v>6</v>
      </c>
      <c r="J1" s="229">
        <v>7</v>
      </c>
      <c r="K1" s="229">
        <v>8</v>
      </c>
      <c r="L1" s="229">
        <v>9</v>
      </c>
      <c r="M1" s="229">
        <v>10</v>
      </c>
      <c r="N1" s="229">
        <v>11</v>
      </c>
      <c r="O1" s="229">
        <v>12</v>
      </c>
      <c r="P1" s="229">
        <v>13</v>
      </c>
      <c r="Q1" s="229">
        <v>14</v>
      </c>
      <c r="R1" s="229">
        <v>15</v>
      </c>
      <c r="S1" s="229">
        <v>16</v>
      </c>
      <c r="T1" s="229">
        <v>17</v>
      </c>
      <c r="U1" s="229">
        <v>18</v>
      </c>
      <c r="V1" s="229">
        <v>19</v>
      </c>
      <c r="W1" s="230">
        <v>20</v>
      </c>
      <c r="X1" s="120" t="s">
        <v>199</v>
      </c>
      <c r="AA1" s="1"/>
      <c r="AB1" s="1"/>
      <c r="AC1" s="1"/>
      <c r="AD1" s="1"/>
    </row>
    <row r="2" spans="1:30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6"/>
      <c r="X2" s="129"/>
    </row>
    <row r="3" spans="1:30">
      <c r="A3" s="77">
        <v>1</v>
      </c>
      <c r="B3" s="78" t="s">
        <v>110</v>
      </c>
      <c r="C3" s="216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129"/>
    </row>
    <row r="4" spans="1:30">
      <c r="A4" s="79" t="s">
        <v>8</v>
      </c>
      <c r="B4" s="225" t="s">
        <v>93</v>
      </c>
      <c r="C4" s="227">
        <f>'Costs E - Francis Repowered'!F137</f>
        <v>2836.36358955792</v>
      </c>
      <c r="D4" s="226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130"/>
    </row>
    <row r="5" spans="1:30" ht="14.25" customHeight="1">
      <c r="A5" s="79" t="s">
        <v>11</v>
      </c>
      <c r="B5" s="80" t="s">
        <v>94</v>
      </c>
      <c r="C5" s="197"/>
      <c r="D5" s="81">
        <f t="shared" ref="D5:W5" si="0">mwh*(0.015)*(1+esc)^(D$1-$C$1)</f>
        <v>7.132901977706636</v>
      </c>
      <c r="E5" s="81">
        <f t="shared" si="0"/>
        <v>7.3112245271493022</v>
      </c>
      <c r="F5" s="81">
        <f t="shared" si="0"/>
        <v>7.4940051403280341</v>
      </c>
      <c r="G5" s="81">
        <f t="shared" si="0"/>
        <v>7.6813552688362341</v>
      </c>
      <c r="H5" s="81">
        <f t="shared" si="0"/>
        <v>7.8733891505571396</v>
      </c>
      <c r="I5" s="81">
        <f t="shared" si="0"/>
        <v>8.0702238793210679</v>
      </c>
      <c r="J5" s="81">
        <f t="shared" si="0"/>
        <v>8.2719794763040948</v>
      </c>
      <c r="K5" s="81">
        <f t="shared" si="0"/>
        <v>8.4787789632116954</v>
      </c>
      <c r="L5" s="81">
        <f t="shared" si="0"/>
        <v>8.6907484372919868</v>
      </c>
      <c r="M5" s="81">
        <f t="shared" si="0"/>
        <v>8.9080171482242871</v>
      </c>
      <c r="N5" s="81">
        <f t="shared" si="0"/>
        <v>9.1307175769298929</v>
      </c>
      <c r="O5" s="81">
        <f t="shared" si="0"/>
        <v>9.3589855163531404</v>
      </c>
      <c r="P5" s="81">
        <f t="shared" si="0"/>
        <v>9.5929601542619682</v>
      </c>
      <c r="Q5" s="81">
        <f t="shared" si="0"/>
        <v>9.8327841581185158</v>
      </c>
      <c r="R5" s="81">
        <f t="shared" si="0"/>
        <v>10.078603762071481</v>
      </c>
      <c r="S5" s="81">
        <f t="shared" si="0"/>
        <v>10.330568856123266</v>
      </c>
      <c r="T5" s="81">
        <f t="shared" si="0"/>
        <v>10.588833077526347</v>
      </c>
      <c r="U5" s="81">
        <f t="shared" si="0"/>
        <v>10.853553904464507</v>
      </c>
      <c r="V5" s="81">
        <f t="shared" si="0"/>
        <v>11.12489275207612</v>
      </c>
      <c r="W5" s="81">
        <f t="shared" si="0"/>
        <v>11.40301507087802</v>
      </c>
      <c r="X5" s="130"/>
    </row>
    <row r="6" spans="1:30">
      <c r="A6" s="79" t="s">
        <v>13</v>
      </c>
      <c r="B6" s="80" t="s">
        <v>95</v>
      </c>
      <c r="C6" s="81"/>
      <c r="D6" s="81"/>
      <c r="E6" s="81"/>
      <c r="F6" s="81"/>
      <c r="G6" s="81"/>
      <c r="H6" s="81">
        <f>50*(1+esc)^(H1-$C1)</f>
        <v>56.570410644531236</v>
      </c>
      <c r="I6" s="81"/>
      <c r="J6" s="81"/>
      <c r="K6" s="81"/>
      <c r="L6" s="81"/>
      <c r="M6" s="81">
        <f>100*(1+esc)^(M1-$C1)</f>
        <v>128.00845441963571</v>
      </c>
      <c r="N6" s="81"/>
      <c r="O6" s="81"/>
      <c r="P6" s="81"/>
      <c r="Q6" s="81"/>
      <c r="R6" s="81">
        <f>50*(1+esc)^(R1-$C1)</f>
        <v>72.414908324905525</v>
      </c>
      <c r="S6" s="81"/>
      <c r="T6" s="81"/>
      <c r="U6" s="81"/>
      <c r="V6" s="81"/>
      <c r="W6" s="82">
        <f>100*(1+esc)^(W1-$C1)</f>
        <v>163.86164402903955</v>
      </c>
      <c r="X6" s="130"/>
    </row>
    <row r="7" spans="1:30">
      <c r="A7" s="79" t="s">
        <v>16</v>
      </c>
      <c r="B7" s="332" t="s">
        <v>368</v>
      </c>
      <c r="C7" s="81"/>
      <c r="D7" s="81">
        <f t="shared" ref="D7:W7" si="1">(0.0025*$C$4*(1+esc)^(D$1-$C$1))</f>
        <v>7.2681816982421692</v>
      </c>
      <c r="E7" s="81">
        <f t="shared" si="1"/>
        <v>7.4498862406982242</v>
      </c>
      <c r="F7" s="81">
        <f t="shared" si="1"/>
        <v>7.636133396715679</v>
      </c>
      <c r="G7" s="81">
        <f t="shared" si="1"/>
        <v>7.8270367316335703</v>
      </c>
      <c r="H7" s="81">
        <f t="shared" si="1"/>
        <v>8.0227126499244097</v>
      </c>
      <c r="I7" s="81">
        <f t="shared" si="1"/>
        <v>8.2232804661725183</v>
      </c>
      <c r="J7" s="81">
        <f t="shared" si="1"/>
        <v>8.4288624778268311</v>
      </c>
      <c r="K7" s="81">
        <f t="shared" si="1"/>
        <v>8.639584039772501</v>
      </c>
      <c r="L7" s="81">
        <f t="shared" si="1"/>
        <v>8.8555736407668135</v>
      </c>
      <c r="M7" s="81">
        <f t="shared" si="1"/>
        <v>9.076962981785984</v>
      </c>
      <c r="N7" s="81">
        <f t="shared" si="1"/>
        <v>9.3038870563306322</v>
      </c>
      <c r="O7" s="81">
        <f t="shared" si="1"/>
        <v>9.5364842327388981</v>
      </c>
      <c r="P7" s="81">
        <f t="shared" si="1"/>
        <v>9.7748963385573706</v>
      </c>
      <c r="Q7" s="81">
        <f t="shared" si="1"/>
        <v>10.019268747021304</v>
      </c>
      <c r="R7" s="81">
        <f t="shared" si="1"/>
        <v>10.269750465696838</v>
      </c>
      <c r="S7" s="81">
        <f t="shared" si="1"/>
        <v>10.526494227339256</v>
      </c>
      <c r="T7" s="81">
        <f t="shared" si="1"/>
        <v>10.789656583022737</v>
      </c>
      <c r="U7" s="81">
        <f t="shared" si="1"/>
        <v>11.059397997598307</v>
      </c>
      <c r="V7" s="81">
        <f t="shared" si="1"/>
        <v>11.335882947538265</v>
      </c>
      <c r="W7" s="81">
        <f t="shared" si="1"/>
        <v>11.619280021226718</v>
      </c>
      <c r="X7" s="130"/>
    </row>
    <row r="8" spans="1:30">
      <c r="A8" s="79" t="s">
        <v>19</v>
      </c>
      <c r="B8" s="332" t="s">
        <v>381</v>
      </c>
      <c r="C8" s="81"/>
      <c r="D8" s="81">
        <f t="shared" ref="D8:W8" si="2">(0.015*$C$4*(1+esc)^(D$1-$C$1))</f>
        <v>43.609090189453013</v>
      </c>
      <c r="E8" s="81">
        <f t="shared" si="2"/>
        <v>44.69931744418934</v>
      </c>
      <c r="F8" s="81">
        <f t="shared" si="2"/>
        <v>45.816800380294069</v>
      </c>
      <c r="G8" s="81">
        <f t="shared" si="2"/>
        <v>46.962220389801416</v>
      </c>
      <c r="H8" s="81">
        <f t="shared" si="2"/>
        <v>48.136275899546447</v>
      </c>
      <c r="I8" s="81">
        <f t="shared" si="2"/>
        <v>49.33968279703511</v>
      </c>
      <c r="J8" s="81">
        <f t="shared" si="2"/>
        <v>50.57317486696099</v>
      </c>
      <c r="K8" s="81">
        <f t="shared" si="2"/>
        <v>51.837504238635006</v>
      </c>
      <c r="L8" s="81">
        <f t="shared" si="2"/>
        <v>53.133441844600874</v>
      </c>
      <c r="M8" s="81">
        <f t="shared" si="2"/>
        <v>54.461777890715894</v>
      </c>
      <c r="N8" s="81">
        <f t="shared" si="2"/>
        <v>55.82332233798379</v>
      </c>
      <c r="O8" s="81">
        <f t="shared" si="2"/>
        <v>57.218905396433385</v>
      </c>
      <c r="P8" s="81">
        <f t="shared" si="2"/>
        <v>58.649378031344213</v>
      </c>
      <c r="Q8" s="81">
        <f t="shared" si="2"/>
        <v>60.115612482127815</v>
      </c>
      <c r="R8" s="81">
        <f t="shared" si="2"/>
        <v>61.618502794181019</v>
      </c>
      <c r="S8" s="81">
        <f t="shared" si="2"/>
        <v>63.158965364035538</v>
      </c>
      <c r="T8" s="81">
        <f t="shared" si="2"/>
        <v>64.737939498136413</v>
      </c>
      <c r="U8" s="81">
        <f t="shared" si="2"/>
        <v>66.356387985589834</v>
      </c>
      <c r="V8" s="81">
        <f t="shared" si="2"/>
        <v>68.015297685229584</v>
      </c>
      <c r="W8" s="81">
        <f t="shared" si="2"/>
        <v>69.715680127360301</v>
      </c>
      <c r="X8" s="130"/>
    </row>
    <row r="9" spans="1:30">
      <c r="A9" s="199" t="s">
        <v>21</v>
      </c>
      <c r="B9" s="200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2"/>
      <c r="X9" s="130"/>
    </row>
    <row r="10" spans="1:30">
      <c r="A10" s="195" t="s">
        <v>35</v>
      </c>
      <c r="B10" s="196" t="s">
        <v>96</v>
      </c>
      <c r="C10" s="197">
        <f t="shared" ref="C10:W10" si="3">SUM(C4:C9)</f>
        <v>2836.36358955792</v>
      </c>
      <c r="D10" s="197">
        <f t="shared" si="3"/>
        <v>58.010173865401818</v>
      </c>
      <c r="E10" s="197">
        <f t="shared" si="3"/>
        <v>59.460428212036867</v>
      </c>
      <c r="F10" s="197">
        <f t="shared" si="3"/>
        <v>60.946938917337782</v>
      </c>
      <c r="G10" s="197">
        <f t="shared" si="3"/>
        <v>62.470612390271221</v>
      </c>
      <c r="H10" s="197">
        <f t="shared" si="3"/>
        <v>120.60278834455924</v>
      </c>
      <c r="I10" s="197">
        <f t="shared" si="3"/>
        <v>65.633187142528698</v>
      </c>
      <c r="J10" s="197">
        <f t="shared" si="3"/>
        <v>67.274016821091919</v>
      </c>
      <c r="K10" s="197">
        <f t="shared" si="3"/>
        <v>68.955867241619202</v>
      </c>
      <c r="L10" s="197">
        <f t="shared" si="3"/>
        <v>70.679763922659674</v>
      </c>
      <c r="M10" s="197">
        <f>SUM(M4:M9)</f>
        <v>200.45521244036186</v>
      </c>
      <c r="N10" s="197">
        <f>SUM(N4:N9)</f>
        <v>74.257926971244316</v>
      </c>
      <c r="O10" s="197">
        <f t="shared" si="3"/>
        <v>76.114375145525429</v>
      </c>
      <c r="P10" s="197">
        <f t="shared" si="3"/>
        <v>78.017234524163555</v>
      </c>
      <c r="Q10" s="197">
        <f t="shared" si="3"/>
        <v>79.96766538726763</v>
      </c>
      <c r="R10" s="197">
        <f t="shared" si="3"/>
        <v>154.38176534685485</v>
      </c>
      <c r="S10" s="197">
        <f t="shared" si="3"/>
        <v>84.016028447498059</v>
      </c>
      <c r="T10" s="197">
        <f t="shared" si="3"/>
        <v>86.116429158685492</v>
      </c>
      <c r="U10" s="197">
        <f t="shared" si="3"/>
        <v>88.269339887652649</v>
      </c>
      <c r="V10" s="197">
        <f t="shared" si="3"/>
        <v>90.476073384843971</v>
      </c>
      <c r="W10" s="198">
        <f t="shared" si="3"/>
        <v>256.59961924850461</v>
      </c>
      <c r="X10" s="130"/>
    </row>
    <row r="11" spans="1:30">
      <c r="A11" s="74"/>
      <c r="B11" s="7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2"/>
      <c r="X11" s="130"/>
    </row>
    <row r="12" spans="1:30">
      <c r="A12" s="77">
        <v>2</v>
      </c>
      <c r="B12" s="78" t="s">
        <v>111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2"/>
      <c r="X12" s="130"/>
    </row>
    <row r="13" spans="1:30">
      <c r="A13" s="79" t="s">
        <v>8</v>
      </c>
      <c r="B13" s="80" t="s">
        <v>125</v>
      </c>
      <c r="C13" s="81">
        <f>$Q$27</f>
        <v>709.09089738948001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2"/>
      <c r="X13" s="130"/>
    </row>
    <row r="14" spans="1:30">
      <c r="A14" s="79" t="s">
        <v>11</v>
      </c>
      <c r="B14" s="80" t="s">
        <v>127</v>
      </c>
      <c r="C14" s="81">
        <f>T27</f>
        <v>425.45453843368801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  <c r="X14" s="130"/>
    </row>
    <row r="15" spans="1:30">
      <c r="A15" s="79" t="s">
        <v>13</v>
      </c>
      <c r="B15" s="80" t="s">
        <v>97</v>
      </c>
      <c r="C15" s="81"/>
      <c r="D15" s="81">
        <f t="shared" ref="D15:W15" si="4">0.001*mwh*$E$29*(1+esc)^(D$1-$C$1)</f>
        <v>59.44084981422197</v>
      </c>
      <c r="E15" s="81">
        <f t="shared" si="4"/>
        <v>60.926871059577522</v>
      </c>
      <c r="F15" s="81">
        <f t="shared" si="4"/>
        <v>62.450042836066956</v>
      </c>
      <c r="G15" s="81">
        <f t="shared" si="4"/>
        <v>64.011293906968632</v>
      </c>
      <c r="H15" s="81">
        <f t="shared" si="4"/>
        <v>65.611576254642841</v>
      </c>
      <c r="I15" s="81">
        <f t="shared" si="4"/>
        <v>67.251865661008907</v>
      </c>
      <c r="J15" s="81">
        <f t="shared" si="4"/>
        <v>68.933162302534129</v>
      </c>
      <c r="K15" s="81">
        <f t="shared" si="4"/>
        <v>70.656491360097476</v>
      </c>
      <c r="L15" s="81">
        <f t="shared" si="4"/>
        <v>72.422903644099904</v>
      </c>
      <c r="M15" s="81">
        <f t="shared" si="4"/>
        <v>74.233476235202403</v>
      </c>
      <c r="N15" s="81">
        <f t="shared" si="4"/>
        <v>76.089313141082457</v>
      </c>
      <c r="O15" s="81">
        <f t="shared" si="4"/>
        <v>77.991545969609504</v>
      </c>
      <c r="P15" s="81">
        <f t="shared" si="4"/>
        <v>79.941334618849737</v>
      </c>
      <c r="Q15" s="81">
        <f t="shared" si="4"/>
        <v>81.939867984320983</v>
      </c>
      <c r="R15" s="81">
        <f t="shared" si="4"/>
        <v>83.988364683929021</v>
      </c>
      <c r="S15" s="81">
        <f t="shared" si="4"/>
        <v>86.088073801027235</v>
      </c>
      <c r="T15" s="81">
        <f t="shared" si="4"/>
        <v>88.240275646052908</v>
      </c>
      <c r="U15" s="81">
        <f t="shared" si="4"/>
        <v>90.446282537204226</v>
      </c>
      <c r="V15" s="81">
        <f t="shared" si="4"/>
        <v>92.707439600634331</v>
      </c>
      <c r="W15" s="81">
        <f t="shared" si="4"/>
        <v>95.025125590650177</v>
      </c>
      <c r="X15" s="105"/>
    </row>
    <row r="16" spans="1:30">
      <c r="A16" s="79" t="s">
        <v>16</v>
      </c>
      <c r="B16" s="80" t="s">
        <v>98</v>
      </c>
      <c r="C16" s="81"/>
      <c r="D16" s="81">
        <f>0.001*mwh*rec*(1+esc)^(D$1-$C$1)</f>
        <v>11.888169962844392</v>
      </c>
      <c r="E16" s="81">
        <f t="shared" ref="E16:W16" si="5">0.001*mwh*rec*(1+esc)^(E$1-$C$1)</f>
        <v>12.185374211915503</v>
      </c>
      <c r="F16" s="81">
        <f t="shared" si="5"/>
        <v>12.49000856721339</v>
      </c>
      <c r="G16" s="81">
        <f t="shared" si="5"/>
        <v>12.802258781393723</v>
      </c>
      <c r="H16" s="81">
        <f t="shared" si="5"/>
        <v>13.122315250928565</v>
      </c>
      <c r="I16" s="81">
        <f t="shared" si="5"/>
        <v>13.450373132201779</v>
      </c>
      <c r="J16" s="81">
        <f t="shared" si="5"/>
        <v>13.786632460506823</v>
      </c>
      <c r="K16" s="81">
        <f t="shared" si="5"/>
        <v>14.131298272019492</v>
      </c>
      <c r="L16" s="81">
        <f t="shared" si="5"/>
        <v>14.484580728819978</v>
      </c>
      <c r="M16" s="81">
        <f t="shared" si="5"/>
        <v>14.846695247040477</v>
      </c>
      <c r="N16" s="81">
        <f t="shared" si="5"/>
        <v>15.217862628216489</v>
      </c>
      <c r="O16" s="81">
        <f t="shared" si="5"/>
        <v>15.598309193921899</v>
      </c>
      <c r="P16" s="81">
        <f t="shared" si="5"/>
        <v>15.988266923769947</v>
      </c>
      <c r="Q16" s="81">
        <f t="shared" si="5"/>
        <v>16.387973596864192</v>
      </c>
      <c r="R16" s="81">
        <f t="shared" si="5"/>
        <v>16.797672936785801</v>
      </c>
      <c r="S16" s="81">
        <f t="shared" si="5"/>
        <v>17.217614760205446</v>
      </c>
      <c r="T16" s="81">
        <f t="shared" si="5"/>
        <v>17.648055129210579</v>
      </c>
      <c r="U16" s="81">
        <f t="shared" si="5"/>
        <v>18.089256507440844</v>
      </c>
      <c r="V16" s="81">
        <f t="shared" si="5"/>
        <v>18.541487920126865</v>
      </c>
      <c r="W16" s="82">
        <f t="shared" si="5"/>
        <v>19.005025118130035</v>
      </c>
      <c r="X16" s="130"/>
    </row>
    <row r="17" spans="1:24">
      <c r="A17" s="79" t="s">
        <v>19</v>
      </c>
      <c r="B17" s="80" t="s">
        <v>117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2"/>
      <c r="X17" s="130"/>
    </row>
    <row r="18" spans="1:24">
      <c r="A18" s="79" t="s">
        <v>21</v>
      </c>
      <c r="B18" s="80" t="s">
        <v>150</v>
      </c>
      <c r="C18" s="81"/>
      <c r="D18" s="81">
        <f t="shared" ref="D18:W18" si="6">0.001*cap*12*(dem)*(1+esc)^(D$1-$C$1)</f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1">
        <f t="shared" si="6"/>
        <v>0</v>
      </c>
      <c r="P18" s="81">
        <f t="shared" si="6"/>
        <v>0</v>
      </c>
      <c r="Q18" s="81">
        <f t="shared" si="6"/>
        <v>0</v>
      </c>
      <c r="R18" s="81">
        <f t="shared" si="6"/>
        <v>0</v>
      </c>
      <c r="S18" s="81">
        <f t="shared" si="6"/>
        <v>0</v>
      </c>
      <c r="T18" s="81">
        <f t="shared" si="6"/>
        <v>0</v>
      </c>
      <c r="U18" s="81">
        <f t="shared" si="6"/>
        <v>0</v>
      </c>
      <c r="V18" s="81">
        <f t="shared" si="6"/>
        <v>0</v>
      </c>
      <c r="W18" s="82">
        <f t="shared" si="6"/>
        <v>0</v>
      </c>
      <c r="X18" s="130"/>
    </row>
    <row r="19" spans="1:24">
      <c r="A19" s="199" t="s">
        <v>35</v>
      </c>
      <c r="B19" s="356" t="s">
        <v>426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202">
        <f>IF($V$23&lt;=0,0,(1+esc)*$V$23/(dis-esc))</f>
        <v>851.68701957260623</v>
      </c>
      <c r="X19" s="130"/>
    </row>
    <row r="20" spans="1:24">
      <c r="A20" s="195" t="s">
        <v>36</v>
      </c>
      <c r="B20" s="196" t="s">
        <v>99</v>
      </c>
      <c r="C20" s="197">
        <f t="shared" ref="C20:V20" si="7">SUM(C13:C18)</f>
        <v>1134.545435823168</v>
      </c>
      <c r="D20" s="197">
        <f t="shared" si="7"/>
        <v>71.329019777066364</v>
      </c>
      <c r="E20" s="197">
        <f t="shared" si="7"/>
        <v>73.112245271493023</v>
      </c>
      <c r="F20" s="197">
        <f t="shared" si="7"/>
        <v>74.94005140328035</v>
      </c>
      <c r="G20" s="197">
        <f t="shared" si="7"/>
        <v>76.81355268836235</v>
      </c>
      <c r="H20" s="197">
        <f t="shared" si="7"/>
        <v>78.733891505571407</v>
      </c>
      <c r="I20" s="197">
        <f t="shared" si="7"/>
        <v>80.702238793210682</v>
      </c>
      <c r="J20" s="197">
        <f t="shared" si="7"/>
        <v>82.719794763040952</v>
      </c>
      <c r="K20" s="197">
        <f t="shared" si="7"/>
        <v>84.787789632116969</v>
      </c>
      <c r="L20" s="197">
        <f t="shared" si="7"/>
        <v>86.907484372919882</v>
      </c>
      <c r="M20" s="197">
        <f t="shared" si="7"/>
        <v>89.080171482242875</v>
      </c>
      <c r="N20" s="197">
        <f t="shared" si="7"/>
        <v>91.307175769298951</v>
      </c>
      <c r="O20" s="197">
        <f t="shared" si="7"/>
        <v>93.589855163531411</v>
      </c>
      <c r="P20" s="197">
        <f t="shared" si="7"/>
        <v>95.929601542619679</v>
      </c>
      <c r="Q20" s="197">
        <f t="shared" si="7"/>
        <v>98.327841581185169</v>
      </c>
      <c r="R20" s="197">
        <f t="shared" si="7"/>
        <v>100.78603762071482</v>
      </c>
      <c r="S20" s="197">
        <f t="shared" si="7"/>
        <v>103.30568856123269</v>
      </c>
      <c r="T20" s="197">
        <f t="shared" si="7"/>
        <v>105.88833077526348</v>
      </c>
      <c r="U20" s="197">
        <f t="shared" si="7"/>
        <v>108.53553904464508</v>
      </c>
      <c r="V20" s="197">
        <f t="shared" si="7"/>
        <v>111.2489275207612</v>
      </c>
      <c r="W20" s="198">
        <f>SUM(W13:W19)</f>
        <v>965.71717028138642</v>
      </c>
      <c r="X20" s="130"/>
    </row>
    <row r="21" spans="1:2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  <c r="X21" s="344">
        <f>0.5*C4*(1+esc)^20</f>
        <v>2323.8560042453437</v>
      </c>
    </row>
    <row r="22" spans="1:24">
      <c r="A22" s="77">
        <v>3</v>
      </c>
      <c r="B22" s="78" t="s">
        <v>112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6"/>
      <c r="X22" s="344">
        <f>(1+esc)*V23/(dis-esc)</f>
        <v>851.68701957260623</v>
      </c>
    </row>
    <row r="23" spans="1:24">
      <c r="A23" s="79" t="s">
        <v>8</v>
      </c>
      <c r="B23" s="80" t="s">
        <v>100</v>
      </c>
      <c r="C23" s="81">
        <f t="shared" ref="C23:W23" si="8">C20-C10</f>
        <v>-1701.8181537347521</v>
      </c>
      <c r="D23" s="81">
        <f t="shared" si="8"/>
        <v>13.318845911664546</v>
      </c>
      <c r="E23" s="81">
        <f t="shared" si="8"/>
        <v>13.651817059456157</v>
      </c>
      <c r="F23" s="81">
        <f t="shared" si="8"/>
        <v>13.993112485942568</v>
      </c>
      <c r="G23" s="81">
        <f t="shared" si="8"/>
        <v>14.342940298091129</v>
      </c>
      <c r="H23" s="81">
        <f t="shared" si="8"/>
        <v>-41.868896838987837</v>
      </c>
      <c r="I23" s="81">
        <f t="shared" si="8"/>
        <v>15.069051650681985</v>
      </c>
      <c r="J23" s="81">
        <f t="shared" si="8"/>
        <v>15.445777941949032</v>
      </c>
      <c r="K23" s="81">
        <f t="shared" si="8"/>
        <v>15.831922390497766</v>
      </c>
      <c r="L23" s="81">
        <f t="shared" si="8"/>
        <v>16.227720450260207</v>
      </c>
      <c r="M23" s="81">
        <f>M20-M10</f>
        <v>-111.37504095811899</v>
      </c>
      <c r="N23" s="81">
        <f t="shared" si="8"/>
        <v>17.049248798054634</v>
      </c>
      <c r="O23" s="81">
        <f t="shared" si="8"/>
        <v>17.475480018005982</v>
      </c>
      <c r="P23" s="81">
        <f t="shared" si="8"/>
        <v>17.912367018456123</v>
      </c>
      <c r="Q23" s="81">
        <f t="shared" si="8"/>
        <v>18.360176193917539</v>
      </c>
      <c r="R23" s="81">
        <f t="shared" si="8"/>
        <v>-53.595727726140026</v>
      </c>
      <c r="S23" s="81">
        <f t="shared" si="8"/>
        <v>19.289660113734627</v>
      </c>
      <c r="T23" s="81">
        <f t="shared" si="8"/>
        <v>19.771901616577992</v>
      </c>
      <c r="U23" s="81">
        <f t="shared" si="8"/>
        <v>20.266199156992428</v>
      </c>
      <c r="V23" s="81">
        <f t="shared" si="8"/>
        <v>20.772854135917228</v>
      </c>
      <c r="W23" s="82">
        <f t="shared" si="8"/>
        <v>709.11755103288181</v>
      </c>
      <c r="X23" s="130"/>
    </row>
    <row r="24" spans="1:24">
      <c r="A24" s="79" t="s">
        <v>11</v>
      </c>
      <c r="B24" s="80" t="s">
        <v>101</v>
      </c>
      <c r="C24" s="81">
        <f>C23</f>
        <v>-1701.8181537347521</v>
      </c>
      <c r="D24" s="81">
        <f>D23/(1+dis)^(D$1-$C$1)</f>
        <v>12.684615153966234</v>
      </c>
      <c r="E24" s="81">
        <f t="shared" ref="E24:W24" si="9">E23/(1+dis)^(E$1-$C$1)</f>
        <v>12.382600507443225</v>
      </c>
      <c r="F24" s="81">
        <f t="shared" si="9"/>
        <v>12.08777668583744</v>
      </c>
      <c r="G24" s="81">
        <f t="shared" si="9"/>
        <v>11.799972479031785</v>
      </c>
      <c r="H24" s="81">
        <f t="shared" si="9"/>
        <v>-32.805376234515521</v>
      </c>
      <c r="I24" s="81">
        <f t="shared" si="9"/>
        <v>11.244758354451486</v>
      </c>
      <c r="J24" s="81">
        <f t="shared" si="9"/>
        <v>10.977026012678827</v>
      </c>
      <c r="K24" s="81">
        <f t="shared" si="9"/>
        <v>10.715668250472197</v>
      </c>
      <c r="L24" s="81">
        <f t="shared" si="9"/>
        <v>10.460533292127618</v>
      </c>
      <c r="M24" s="81">
        <f t="shared" si="9"/>
        <v>-68.374613757834155</v>
      </c>
      <c r="N24" s="81">
        <f t="shared" si="9"/>
        <v>9.9683426667043804</v>
      </c>
      <c r="O24" s="81">
        <f t="shared" si="9"/>
        <v>9.7310011746399816</v>
      </c>
      <c r="P24" s="81">
        <f t="shared" si="9"/>
        <v>9.499310670481881</v>
      </c>
      <c r="Q24" s="81">
        <f t="shared" si="9"/>
        <v>9.2731366068989871</v>
      </c>
      <c r="R24" s="81">
        <f t="shared" si="9"/>
        <v>-25.780461420901627</v>
      </c>
      <c r="S24" s="81">
        <f t="shared" si="9"/>
        <v>8.8368155533997754</v>
      </c>
      <c r="T24" s="81">
        <f t="shared" si="9"/>
        <v>8.6264151830807325</v>
      </c>
      <c r="U24" s="81">
        <f t="shared" si="9"/>
        <v>8.4210243453883287</v>
      </c>
      <c r="V24" s="81">
        <f t="shared" si="9"/>
        <v>8.2205237657362211</v>
      </c>
      <c r="W24" s="82">
        <f t="shared" si="9"/>
        <v>267.25894710495146</v>
      </c>
      <c r="X24" s="130"/>
    </row>
    <row r="25" spans="1:24">
      <c r="A25" s="79" t="s">
        <v>13</v>
      </c>
      <c r="B25" s="80" t="s">
        <v>102</v>
      </c>
      <c r="C25" s="81">
        <f>C23</f>
        <v>-1701.8181537347521</v>
      </c>
      <c r="D25" s="81">
        <f>SUM($C24:D24)</f>
        <v>-1689.1335385807859</v>
      </c>
      <c r="E25" s="81">
        <f>SUM($C24:E24)</f>
        <v>-1676.7509380733427</v>
      </c>
      <c r="F25" s="81">
        <f>SUM($C24:F24)</f>
        <v>-1664.6631613875052</v>
      </c>
      <c r="G25" s="81">
        <f>SUM($C24:G24)</f>
        <v>-1652.8631889084734</v>
      </c>
      <c r="H25" s="81">
        <f>SUM($C24:H24)</f>
        <v>-1685.6685651429889</v>
      </c>
      <c r="I25" s="81">
        <f>SUM($C24:I24)</f>
        <v>-1674.4238067885374</v>
      </c>
      <c r="J25" s="81">
        <f>SUM($C24:J24)</f>
        <v>-1663.4467807758585</v>
      </c>
      <c r="K25" s="81">
        <f>SUM($C24:K24)</f>
        <v>-1652.7311125253864</v>
      </c>
      <c r="L25" s="81">
        <f>SUM($C24:L24)</f>
        <v>-1642.2705792332588</v>
      </c>
      <c r="M25" s="81">
        <f>SUM($C24:M24)</f>
        <v>-1710.6451929910929</v>
      </c>
      <c r="N25" s="81">
        <f>SUM($C24:N24)</f>
        <v>-1700.6768503243886</v>
      </c>
      <c r="O25" s="81">
        <f>SUM($C24:O24)</f>
        <v>-1690.9458491497487</v>
      </c>
      <c r="P25" s="81">
        <f>SUM($C24:P24)</f>
        <v>-1681.4465384792668</v>
      </c>
      <c r="Q25" s="81">
        <f>SUM($C24:Q24)</f>
        <v>-1672.1734018723678</v>
      </c>
      <c r="R25" s="81">
        <f>SUM($C24:R24)</f>
        <v>-1697.9538632932695</v>
      </c>
      <c r="S25" s="81">
        <f>SUM($C24:S24)</f>
        <v>-1689.1170477398698</v>
      </c>
      <c r="T25" s="81">
        <f>SUM($C24:T24)</f>
        <v>-1680.490632556789</v>
      </c>
      <c r="U25" s="81">
        <f>SUM($C24:U24)</f>
        <v>-1672.0696082114007</v>
      </c>
      <c r="V25" s="81">
        <f>SUM($C24:V24)</f>
        <v>-1663.8490844456644</v>
      </c>
      <c r="W25" s="82">
        <f>SUM($C24:W24)</f>
        <v>-1396.590137340713</v>
      </c>
      <c r="X25" s="130"/>
    </row>
    <row r="26" spans="1:24">
      <c r="A26" s="74"/>
      <c r="B26" s="75"/>
      <c r="C26" s="75"/>
      <c r="I26" s="75"/>
      <c r="J26" s="75"/>
      <c r="K26" s="216"/>
      <c r="L26" s="75"/>
      <c r="M26" s="75"/>
      <c r="N26" s="216"/>
      <c r="O26" s="75"/>
      <c r="P26" s="75"/>
      <c r="Q26" s="216"/>
      <c r="R26" s="75"/>
      <c r="S26" s="75"/>
      <c r="T26" s="216"/>
      <c r="U26" s="75"/>
      <c r="V26" s="75"/>
      <c r="W26" s="76"/>
      <c r="X26" s="129"/>
    </row>
    <row r="27" spans="1:24">
      <c r="A27" s="74"/>
      <c r="B27" s="84" t="s">
        <v>103</v>
      </c>
      <c r="C27" s="75"/>
      <c r="D27" s="214" t="s">
        <v>104</v>
      </c>
      <c r="E27" s="341">
        <f>'Summary - Cash'!C9</f>
        <v>2.5000000000000001E-2</v>
      </c>
      <c r="F27" s="340"/>
      <c r="G27" s="223" t="s">
        <v>105</v>
      </c>
      <c r="H27" s="341">
        <f>'Summary - Cash'!F9</f>
        <v>0.05</v>
      </c>
      <c r="I27" s="340"/>
      <c r="J27" s="214" t="s">
        <v>106</v>
      </c>
      <c r="K27" s="218">
        <f>Energy!J10</f>
        <v>463.92858391587879</v>
      </c>
      <c r="L27" s="215"/>
      <c r="M27" s="220" t="s">
        <v>153</v>
      </c>
      <c r="N27" s="221">
        <f>Energy!I10</f>
        <v>178.04906116573295</v>
      </c>
      <c r="O27" s="215"/>
      <c r="P27" s="219" t="s">
        <v>125</v>
      </c>
      <c r="Q27" s="218">
        <f>'Summary - Cash'!F20*'Summary - Cash'!B20</f>
        <v>709.09089738948001</v>
      </c>
      <c r="R27" s="215"/>
      <c r="S27" s="219" t="s">
        <v>126</v>
      </c>
      <c r="T27" s="222">
        <f>'Summary - Cash'!G20*'Summary - Cash'!B20</f>
        <v>425.45453843368801</v>
      </c>
      <c r="U27" s="215"/>
      <c r="V27" s="75"/>
      <c r="W27" s="76"/>
      <c r="X27" s="129"/>
    </row>
    <row r="28" spans="1:24">
      <c r="A28" s="74"/>
      <c r="B28" s="75"/>
      <c r="C28" s="75"/>
      <c r="D28" s="75"/>
      <c r="J28" s="75"/>
      <c r="L28" s="75"/>
      <c r="M28" s="75"/>
      <c r="N28" s="204"/>
      <c r="O28" s="75"/>
      <c r="P28" s="75"/>
      <c r="Q28" s="204"/>
      <c r="R28" s="75"/>
      <c r="S28" s="75"/>
      <c r="T28" s="204"/>
      <c r="U28" s="75"/>
      <c r="V28" s="75"/>
      <c r="W28" s="76"/>
      <c r="X28" s="129"/>
    </row>
    <row r="29" spans="1:24">
      <c r="A29" s="74"/>
      <c r="B29" s="75"/>
      <c r="C29" s="75"/>
      <c r="D29" s="223" t="s">
        <v>107</v>
      </c>
      <c r="E29" s="218">
        <f>'Summary - Cash'!H14</f>
        <v>125</v>
      </c>
      <c r="F29" s="215" t="s">
        <v>119</v>
      </c>
      <c r="G29" s="336" t="s">
        <v>382</v>
      </c>
      <c r="H29" s="97"/>
      <c r="I29" s="85" t="s">
        <v>152</v>
      </c>
      <c r="J29" s="219" t="s">
        <v>108</v>
      </c>
      <c r="K29" s="218">
        <f>'Summary - Cash'!C10</f>
        <v>25</v>
      </c>
      <c r="L29" s="215" t="s">
        <v>119</v>
      </c>
      <c r="M29" s="86" t="s">
        <v>120</v>
      </c>
      <c r="N29" s="231">
        <v>0</v>
      </c>
      <c r="O29" s="88" t="s">
        <v>109</v>
      </c>
      <c r="P29" s="89" t="s">
        <v>118</v>
      </c>
      <c r="Q29" s="87"/>
      <c r="R29" s="75" t="s">
        <v>119</v>
      </c>
      <c r="S29" s="75"/>
      <c r="T29" s="75"/>
      <c r="U29" s="75"/>
      <c r="V29" s="75"/>
      <c r="W29" s="76"/>
      <c r="X29" s="129"/>
    </row>
    <row r="30" spans="1:24">
      <c r="A30" s="74"/>
      <c r="B30" s="75"/>
      <c r="C30" s="75"/>
      <c r="D30" s="75"/>
      <c r="E30" s="204"/>
      <c r="F30" s="75"/>
      <c r="G30" s="75"/>
      <c r="H30" s="75"/>
      <c r="I30" s="75"/>
      <c r="J30" s="75"/>
      <c r="K30" s="204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  <c r="X30" s="129"/>
    </row>
    <row r="31" spans="1:24">
      <c r="A31" s="94"/>
      <c r="B31" s="98" t="s">
        <v>121</v>
      </c>
      <c r="C31" s="95"/>
      <c r="D31" s="95"/>
      <c r="E31" s="95" t="s">
        <v>122</v>
      </c>
      <c r="F31" s="95"/>
      <c r="G31" s="95"/>
      <c r="H31" s="99" t="e">
        <f>IRR($C23:$W23)</f>
        <v>#NUM!</v>
      </c>
      <c r="I31" s="100"/>
      <c r="J31" s="100" t="s">
        <v>102</v>
      </c>
      <c r="K31" s="101">
        <f>$W25</f>
        <v>-1396.590137340713</v>
      </c>
      <c r="L31" s="100"/>
      <c r="M31" s="100"/>
      <c r="N31" s="100"/>
      <c r="O31" s="100"/>
      <c r="P31" s="102" t="s">
        <v>123</v>
      </c>
      <c r="Q31" s="103">
        <f>MATCH(1,D25:W25)</f>
        <v>20</v>
      </c>
      <c r="R31" s="95"/>
      <c r="S31" s="95"/>
      <c r="T31" s="95"/>
      <c r="U31" s="95"/>
      <c r="V31" s="95"/>
      <c r="W31" s="96"/>
      <c r="X31" s="131"/>
    </row>
    <row r="33" spans="1:13">
      <c r="B33" s="2" t="s">
        <v>113</v>
      </c>
      <c r="D33" s="3"/>
      <c r="E33" s="3"/>
      <c r="F33" s="3"/>
      <c r="G33" s="3"/>
      <c r="H33" s="3"/>
    </row>
    <row r="34" spans="1:13">
      <c r="A34">
        <v>1</v>
      </c>
      <c r="B34" t="s">
        <v>369</v>
      </c>
      <c r="D34" s="4"/>
    </row>
    <row r="35" spans="1:13">
      <c r="A35">
        <v>2</v>
      </c>
      <c r="B35" t="s">
        <v>131</v>
      </c>
      <c r="L35" s="224"/>
      <c r="M35" s="138" t="s">
        <v>307</v>
      </c>
    </row>
    <row r="36" spans="1:13">
      <c r="A36">
        <v>3</v>
      </c>
      <c r="B36" s="138" t="s">
        <v>383</v>
      </c>
      <c r="L36" s="227"/>
      <c r="M36" s="138" t="s">
        <v>308</v>
      </c>
    </row>
    <row r="37" spans="1:13">
      <c r="A37">
        <v>4</v>
      </c>
      <c r="B37" s="138" t="s">
        <v>393</v>
      </c>
    </row>
    <row r="38" spans="1:13">
      <c r="A38">
        <v>5</v>
      </c>
      <c r="B38" s="138" t="s">
        <v>425</v>
      </c>
    </row>
    <row r="41" spans="1:13">
      <c r="B41" s="6"/>
    </row>
  </sheetData>
  <sheetProtection selectLockedCells="1"/>
  <printOptions horizontalCentered="1"/>
  <pageMargins left="1" right="1" top="2.25" bottom="1" header="0.5" footer="0.5"/>
  <pageSetup paperSize="3" scale="80" orientation="landscape" r:id="rId1"/>
  <headerFooter alignWithMargins="0">
    <oddHeader>&amp;L&amp;"Arial,Bold Italic"&amp;11Privileged and Confidential&amp;C&amp;"Arial,Bold Italic"&amp;11Ten Mile River Feasibility Study
Phase 1
&amp;R&amp;"Arial,Bold Italic"&amp;11&amp;A</oddHeader>
    <oddFooter>&amp;L&amp;G&amp;C&amp;"Arial,Bold Italic"For Planning Purposes Only&amp;R&amp;"Arial,Bold Italic"&amp;F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6"/>
  </sheetPr>
  <dimension ref="A1:AD41"/>
  <sheetViews>
    <sheetView view="pageBreakPreview" zoomScale="75" zoomScaleNormal="75" zoomScaleSheetLayoutView="75" workbookViewId="0">
      <selection activeCell="H36" sqref="H36"/>
    </sheetView>
  </sheetViews>
  <sheetFormatPr defaultRowHeight="12.75"/>
  <cols>
    <col min="1" max="1" width="4.5703125" customWidth="1"/>
    <col min="2" max="2" width="30.85546875" customWidth="1"/>
    <col min="3" max="3" width="9.28515625" bestFit="1" customWidth="1"/>
    <col min="4" max="4" width="9.42578125" bestFit="1" customWidth="1"/>
    <col min="5" max="7" width="9.28515625" bestFit="1" customWidth="1"/>
    <col min="8" max="8" width="9.85546875" bestFit="1" customWidth="1"/>
    <col min="9" max="9" width="9.28515625" bestFit="1" customWidth="1"/>
    <col min="10" max="10" width="12.28515625" customWidth="1"/>
    <col min="11" max="11" width="12.42578125" customWidth="1"/>
    <col min="12" max="23" width="9.28515625" bestFit="1" customWidth="1"/>
    <col min="24" max="24" width="25.28515625" style="112" customWidth="1"/>
  </cols>
  <sheetData>
    <row r="1" spans="1:30" ht="26.25" thickBot="1">
      <c r="A1" s="228" t="s">
        <v>0</v>
      </c>
      <c r="B1" s="229" t="s">
        <v>92</v>
      </c>
      <c r="C1" s="229">
        <v>0</v>
      </c>
      <c r="D1" s="229">
        <v>1</v>
      </c>
      <c r="E1" s="229">
        <v>2</v>
      </c>
      <c r="F1" s="229">
        <v>3</v>
      </c>
      <c r="G1" s="229">
        <v>4</v>
      </c>
      <c r="H1" s="229">
        <v>5</v>
      </c>
      <c r="I1" s="229">
        <v>6</v>
      </c>
      <c r="J1" s="229">
        <v>7</v>
      </c>
      <c r="K1" s="229">
        <v>8</v>
      </c>
      <c r="L1" s="229">
        <v>9</v>
      </c>
      <c r="M1" s="229">
        <v>10</v>
      </c>
      <c r="N1" s="229">
        <v>11</v>
      </c>
      <c r="O1" s="229">
        <v>12</v>
      </c>
      <c r="P1" s="229">
        <v>13</v>
      </c>
      <c r="Q1" s="229">
        <v>14</v>
      </c>
      <c r="R1" s="229">
        <v>15</v>
      </c>
      <c r="S1" s="229">
        <v>16</v>
      </c>
      <c r="T1" s="229">
        <v>17</v>
      </c>
      <c r="U1" s="229">
        <v>18</v>
      </c>
      <c r="V1" s="229">
        <v>19</v>
      </c>
      <c r="W1" s="230">
        <v>20</v>
      </c>
      <c r="X1" s="120" t="s">
        <v>199</v>
      </c>
      <c r="AA1" s="367"/>
      <c r="AB1" s="367"/>
      <c r="AC1" s="367"/>
      <c r="AD1" s="367"/>
    </row>
    <row r="2" spans="1:30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6"/>
      <c r="X2" s="129"/>
    </row>
    <row r="3" spans="1:30">
      <c r="A3" s="77">
        <v>1</v>
      </c>
      <c r="B3" s="78" t="s">
        <v>110</v>
      </c>
      <c r="C3" s="216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129"/>
    </row>
    <row r="4" spans="1:30">
      <c r="A4" s="79" t="s">
        <v>8</v>
      </c>
      <c r="B4" s="225" t="s">
        <v>93</v>
      </c>
      <c r="C4" s="227">
        <f>'CostsE-FrancisRepow-no min flow'!F137</f>
        <v>2994.3647999999994</v>
      </c>
      <c r="D4" s="226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130"/>
    </row>
    <row r="5" spans="1:30" ht="14.25" customHeight="1">
      <c r="A5" s="79" t="s">
        <v>11</v>
      </c>
      <c r="B5" s="80" t="s">
        <v>94</v>
      </c>
      <c r="C5" s="197"/>
      <c r="D5" s="81">
        <f t="shared" ref="D5:W5" si="0">mwh*(0.015)*(1+esc)^(D$1-$C$1)</f>
        <v>12.525084328135225</v>
      </c>
      <c r="E5" s="81">
        <f t="shared" si="0"/>
        <v>12.838211436338607</v>
      </c>
      <c r="F5" s="81">
        <f t="shared" si="0"/>
        <v>13.159166722247072</v>
      </c>
      <c r="G5" s="81">
        <f t="shared" si="0"/>
        <v>13.488145890303247</v>
      </c>
      <c r="H5" s="81">
        <f t="shared" si="0"/>
        <v>13.825349537560827</v>
      </c>
      <c r="I5" s="81">
        <f t="shared" si="0"/>
        <v>14.170983275999847</v>
      </c>
      <c r="J5" s="81">
        <f t="shared" si="0"/>
        <v>14.525257857899843</v>
      </c>
      <c r="K5" s="81">
        <f t="shared" si="0"/>
        <v>14.888389304347339</v>
      </c>
      <c r="L5" s="81">
        <f t="shared" si="0"/>
        <v>15.26059903695602</v>
      </c>
      <c r="M5" s="81">
        <f t="shared" si="0"/>
        <v>15.642114012879919</v>
      </c>
      <c r="N5" s="81">
        <f t="shared" si="0"/>
        <v>16.033166863201917</v>
      </c>
      <c r="O5" s="81">
        <f t="shared" si="0"/>
        <v>16.433996034781963</v>
      </c>
      <c r="P5" s="81">
        <f t="shared" si="0"/>
        <v>16.844845935651513</v>
      </c>
      <c r="Q5" s="81">
        <f t="shared" si="0"/>
        <v>17.265967084042799</v>
      </c>
      <c r="R5" s="81">
        <f t="shared" si="0"/>
        <v>17.697616261143871</v>
      </c>
      <c r="S5" s="81">
        <f t="shared" si="0"/>
        <v>18.140056667672464</v>
      </c>
      <c r="T5" s="81">
        <f t="shared" si="0"/>
        <v>18.593558084364275</v>
      </c>
      <c r="U5" s="81">
        <f t="shared" si="0"/>
        <v>19.058397036473384</v>
      </c>
      <c r="V5" s="81">
        <f t="shared" si="0"/>
        <v>19.534856962385216</v>
      </c>
      <c r="W5" s="81">
        <f t="shared" si="0"/>
        <v>20.023228386444845</v>
      </c>
      <c r="X5" s="130"/>
    </row>
    <row r="6" spans="1:30">
      <c r="A6" s="79" t="s">
        <v>13</v>
      </c>
      <c r="B6" s="80" t="s">
        <v>95</v>
      </c>
      <c r="C6" s="81"/>
      <c r="D6" s="81"/>
      <c r="E6" s="81"/>
      <c r="F6" s="81"/>
      <c r="G6" s="81"/>
      <c r="H6" s="81">
        <f>50*(1+esc)^(H1-$C1)</f>
        <v>56.570410644531236</v>
      </c>
      <c r="I6" s="81"/>
      <c r="J6" s="81"/>
      <c r="K6" s="81"/>
      <c r="L6" s="81"/>
      <c r="M6" s="81">
        <f>100*(1+esc)^(M1-$C1)</f>
        <v>128.00845441963571</v>
      </c>
      <c r="N6" s="81"/>
      <c r="O6" s="81"/>
      <c r="P6" s="81"/>
      <c r="Q6" s="81"/>
      <c r="R6" s="81">
        <f>50*(1+esc)^(R1-$C1)</f>
        <v>72.414908324905525</v>
      </c>
      <c r="S6" s="81"/>
      <c r="T6" s="81"/>
      <c r="U6" s="81"/>
      <c r="V6" s="81"/>
      <c r="W6" s="82">
        <f>100*(1+esc)^(W1-$C1)</f>
        <v>163.86164402903955</v>
      </c>
      <c r="X6" s="130"/>
    </row>
    <row r="7" spans="1:30">
      <c r="A7" s="79" t="s">
        <v>16</v>
      </c>
      <c r="B7" s="332" t="s">
        <v>368</v>
      </c>
      <c r="C7" s="81"/>
      <c r="D7" s="81">
        <f t="shared" ref="D7:W7" si="1">(0.0025*$C$4*(1+esc)^(D$1-$C$1))</f>
        <v>7.6730597999999981</v>
      </c>
      <c r="E7" s="81">
        <f t="shared" si="1"/>
        <v>7.864886294999998</v>
      </c>
      <c r="F7" s="81">
        <f t="shared" si="1"/>
        <v>8.0615084523749978</v>
      </c>
      <c r="G7" s="81">
        <f t="shared" si="1"/>
        <v>8.2630461636843719</v>
      </c>
      <c r="H7" s="81">
        <f t="shared" si="1"/>
        <v>8.46962231777648</v>
      </c>
      <c r="I7" s="81">
        <f t="shared" si="1"/>
        <v>8.6813628757208914</v>
      </c>
      <c r="J7" s="81">
        <f t="shared" si="1"/>
        <v>8.8983969476139144</v>
      </c>
      <c r="K7" s="81">
        <f t="shared" si="1"/>
        <v>9.1208568713042624</v>
      </c>
      <c r="L7" s="81">
        <f t="shared" si="1"/>
        <v>9.3488782930868677</v>
      </c>
      <c r="M7" s="81">
        <f t="shared" si="1"/>
        <v>9.5826002504140391</v>
      </c>
      <c r="N7" s="81">
        <f t="shared" si="1"/>
        <v>9.8221652566743902</v>
      </c>
      <c r="O7" s="81">
        <f t="shared" si="1"/>
        <v>10.067719388091248</v>
      </c>
      <c r="P7" s="81">
        <f t="shared" si="1"/>
        <v>10.319412372793529</v>
      </c>
      <c r="Q7" s="81">
        <f t="shared" si="1"/>
        <v>10.577397682113366</v>
      </c>
      <c r="R7" s="81">
        <f t="shared" si="1"/>
        <v>10.841832624166202</v>
      </c>
      <c r="S7" s="81">
        <f t="shared" si="1"/>
        <v>11.112878439770355</v>
      </c>
      <c r="T7" s="81">
        <f t="shared" si="1"/>
        <v>11.390700400764613</v>
      </c>
      <c r="U7" s="81">
        <f t="shared" si="1"/>
        <v>11.675467910783729</v>
      </c>
      <c r="V7" s="81">
        <f t="shared" si="1"/>
        <v>11.967354608553322</v>
      </c>
      <c r="W7" s="81">
        <f t="shared" si="1"/>
        <v>12.266538473767154</v>
      </c>
      <c r="X7" s="130"/>
    </row>
    <row r="8" spans="1:30">
      <c r="A8" s="79" t="s">
        <v>19</v>
      </c>
      <c r="B8" s="332" t="s">
        <v>381</v>
      </c>
      <c r="C8" s="81"/>
      <c r="D8" s="81">
        <f t="shared" ref="D8:W8" si="2">(0.015*$C$4*(1+esc)^(D$1-$C$1))</f>
        <v>46.038358799999983</v>
      </c>
      <c r="E8" s="81">
        <f t="shared" si="2"/>
        <v>47.189317769999981</v>
      </c>
      <c r="F8" s="81">
        <f t="shared" si="2"/>
        <v>48.36905071424998</v>
      </c>
      <c r="G8" s="81">
        <f t="shared" si="2"/>
        <v>49.578276982106225</v>
      </c>
      <c r="H8" s="81">
        <f t="shared" si="2"/>
        <v>50.817733906658873</v>
      </c>
      <c r="I8" s="81">
        <f t="shared" si="2"/>
        <v>52.088177254325345</v>
      </c>
      <c r="J8" s="81">
        <f t="shared" si="2"/>
        <v>53.390381685683479</v>
      </c>
      <c r="K8" s="81">
        <f t="shared" si="2"/>
        <v>54.72514122782556</v>
      </c>
      <c r="L8" s="81">
        <f t="shared" si="2"/>
        <v>56.093269758521195</v>
      </c>
      <c r="M8" s="81">
        <f t="shared" si="2"/>
        <v>57.49560150248422</v>
      </c>
      <c r="N8" s="81">
        <f t="shared" si="2"/>
        <v>58.932991540046324</v>
      </c>
      <c r="O8" s="81">
        <f t="shared" si="2"/>
        <v>60.406316328547483</v>
      </c>
      <c r="P8" s="81">
        <f t="shared" si="2"/>
        <v>61.916474236761161</v>
      </c>
      <c r="Q8" s="81">
        <f t="shared" si="2"/>
        <v>63.464386092680186</v>
      </c>
      <c r="R8" s="81">
        <f t="shared" si="2"/>
        <v>65.050995744997195</v>
      </c>
      <c r="S8" s="81">
        <f t="shared" si="2"/>
        <v>66.677270638622119</v>
      </c>
      <c r="T8" s="81">
        <f t="shared" si="2"/>
        <v>68.344202404587662</v>
      </c>
      <c r="U8" s="81">
        <f t="shared" si="2"/>
        <v>70.052807464702369</v>
      </c>
      <c r="V8" s="81">
        <f t="shared" si="2"/>
        <v>71.804127651319931</v>
      </c>
      <c r="W8" s="81">
        <f t="shared" si="2"/>
        <v>73.599230842602907</v>
      </c>
      <c r="X8" s="130"/>
    </row>
    <row r="9" spans="1:30">
      <c r="A9" s="199" t="s">
        <v>21</v>
      </c>
      <c r="B9" s="200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2"/>
      <c r="X9" s="130"/>
    </row>
    <row r="10" spans="1:30">
      <c r="A10" s="195" t="s">
        <v>35</v>
      </c>
      <c r="B10" s="196" t="s">
        <v>96</v>
      </c>
      <c r="C10" s="197">
        <f t="shared" ref="C10:W10" si="3">SUM(C4:C9)</f>
        <v>2994.3647999999994</v>
      </c>
      <c r="D10" s="197">
        <f t="shared" si="3"/>
        <v>66.236502928135209</v>
      </c>
      <c r="E10" s="197">
        <f t="shared" si="3"/>
        <v>67.89241550133859</v>
      </c>
      <c r="F10" s="197">
        <f t="shared" si="3"/>
        <v>69.589725888872053</v>
      </c>
      <c r="G10" s="197">
        <f t="shared" si="3"/>
        <v>71.32946903609384</v>
      </c>
      <c r="H10" s="197">
        <f t="shared" si="3"/>
        <v>129.6831164065274</v>
      </c>
      <c r="I10" s="197">
        <f t="shared" si="3"/>
        <v>74.940523406046083</v>
      </c>
      <c r="J10" s="197">
        <f t="shared" si="3"/>
        <v>76.814036491197243</v>
      </c>
      <c r="K10" s="197">
        <f t="shared" si="3"/>
        <v>78.734387403477157</v>
      </c>
      <c r="L10" s="197">
        <f t="shared" si="3"/>
        <v>80.702747088564081</v>
      </c>
      <c r="M10" s="197">
        <f>SUM(M4:M9)</f>
        <v>210.72877018541388</v>
      </c>
      <c r="N10" s="197">
        <f>SUM(N4:N9)</f>
        <v>84.788323659922639</v>
      </c>
      <c r="O10" s="197">
        <f t="shared" si="3"/>
        <v>86.908031751420694</v>
      </c>
      <c r="P10" s="197">
        <f t="shared" si="3"/>
        <v>89.080732545206203</v>
      </c>
      <c r="Q10" s="197">
        <f t="shared" si="3"/>
        <v>91.307750858836357</v>
      </c>
      <c r="R10" s="197">
        <f t="shared" si="3"/>
        <v>166.0053529552128</v>
      </c>
      <c r="S10" s="197">
        <f t="shared" si="3"/>
        <v>95.930205746064942</v>
      </c>
      <c r="T10" s="197">
        <f t="shared" si="3"/>
        <v>98.328460889716553</v>
      </c>
      <c r="U10" s="197">
        <f t="shared" si="3"/>
        <v>100.78667241195947</v>
      </c>
      <c r="V10" s="197">
        <f t="shared" si="3"/>
        <v>103.30633922225847</v>
      </c>
      <c r="W10" s="198">
        <f t="shared" si="3"/>
        <v>269.75064173185444</v>
      </c>
      <c r="X10" s="130"/>
    </row>
    <row r="11" spans="1:30">
      <c r="A11" s="74"/>
      <c r="B11" s="7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2"/>
      <c r="X11" s="130"/>
    </row>
    <row r="12" spans="1:30">
      <c r="A12" s="77">
        <v>2</v>
      </c>
      <c r="B12" s="78" t="s">
        <v>111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2"/>
      <c r="X12" s="130"/>
    </row>
    <row r="13" spans="1:30">
      <c r="A13" s="79" t="s">
        <v>8</v>
      </c>
      <c r="B13" s="80" t="s">
        <v>125</v>
      </c>
      <c r="C13" s="81">
        <f>$Q$27</f>
        <v>709.09089738948001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2"/>
      <c r="X13" s="130"/>
    </row>
    <row r="14" spans="1:30">
      <c r="A14" s="79" t="s">
        <v>11</v>
      </c>
      <c r="B14" s="80" t="s">
        <v>127</v>
      </c>
      <c r="C14" s="81">
        <f>T27</f>
        <v>425.45453843368801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  <c r="X14" s="130"/>
    </row>
    <row r="15" spans="1:30">
      <c r="A15" s="79" t="s">
        <v>13</v>
      </c>
      <c r="B15" s="80" t="s">
        <v>97</v>
      </c>
      <c r="C15" s="81"/>
      <c r="D15" s="81">
        <f t="shared" ref="D15:W15" si="4">0.001*mwh*$E$29*(1+esc)^(D$1-$C$1)</f>
        <v>104.37570273446023</v>
      </c>
      <c r="E15" s="81">
        <f t="shared" si="4"/>
        <v>106.98509530282173</v>
      </c>
      <c r="F15" s="81">
        <f t="shared" si="4"/>
        <v>109.65972268539227</v>
      </c>
      <c r="G15" s="81">
        <f t="shared" si="4"/>
        <v>112.40121575252707</v>
      </c>
      <c r="H15" s="81">
        <f t="shared" si="4"/>
        <v>115.21124614634023</v>
      </c>
      <c r="I15" s="81">
        <f t="shared" si="4"/>
        <v>118.09152729999873</v>
      </c>
      <c r="J15" s="81">
        <f t="shared" si="4"/>
        <v>121.0438154824987</v>
      </c>
      <c r="K15" s="81">
        <f t="shared" si="4"/>
        <v>124.06991086956117</v>
      </c>
      <c r="L15" s="81">
        <f t="shared" si="4"/>
        <v>127.17165864130017</v>
      </c>
      <c r="M15" s="81">
        <f t="shared" si="4"/>
        <v>130.35095010733266</v>
      </c>
      <c r="N15" s="81">
        <f t="shared" si="4"/>
        <v>133.609723860016</v>
      </c>
      <c r="O15" s="81">
        <f t="shared" si="4"/>
        <v>136.94996695651639</v>
      </c>
      <c r="P15" s="81">
        <f t="shared" si="4"/>
        <v>140.37371613042927</v>
      </c>
      <c r="Q15" s="81">
        <f t="shared" si="4"/>
        <v>143.88305903368999</v>
      </c>
      <c r="R15" s="81">
        <f t="shared" si="4"/>
        <v>147.48013550953226</v>
      </c>
      <c r="S15" s="81">
        <f t="shared" si="4"/>
        <v>151.16713889727058</v>
      </c>
      <c r="T15" s="81">
        <f t="shared" si="4"/>
        <v>154.94631736970231</v>
      </c>
      <c r="U15" s="81">
        <f t="shared" si="4"/>
        <v>158.81997530394489</v>
      </c>
      <c r="V15" s="81">
        <f t="shared" si="4"/>
        <v>162.79047468654349</v>
      </c>
      <c r="W15" s="81">
        <f t="shared" si="4"/>
        <v>166.86023655370707</v>
      </c>
      <c r="X15" s="105"/>
    </row>
    <row r="16" spans="1:30">
      <c r="A16" s="79" t="s">
        <v>16</v>
      </c>
      <c r="B16" s="80" t="s">
        <v>98</v>
      </c>
      <c r="C16" s="81"/>
      <c r="D16" s="81">
        <f>0.001*mwh*rec*(1+esc)^(D$1-$C$1)</f>
        <v>20.875140546892048</v>
      </c>
      <c r="E16" s="81">
        <f t="shared" ref="E16:W16" si="5">0.001*mwh*rec*(1+esc)^(E$1-$C$1)</f>
        <v>21.397019060564347</v>
      </c>
      <c r="F16" s="81">
        <f t="shared" si="5"/>
        <v>21.931944537078458</v>
      </c>
      <c r="G16" s="81">
        <f t="shared" si="5"/>
        <v>22.480243150505416</v>
      </c>
      <c r="H16" s="81">
        <f t="shared" si="5"/>
        <v>23.042249229268048</v>
      </c>
      <c r="I16" s="81">
        <f t="shared" si="5"/>
        <v>23.618305459999746</v>
      </c>
      <c r="J16" s="81">
        <f t="shared" si="5"/>
        <v>24.208763096499744</v>
      </c>
      <c r="K16" s="81">
        <f t="shared" si="5"/>
        <v>24.813982173912233</v>
      </c>
      <c r="L16" s="81">
        <f t="shared" si="5"/>
        <v>25.434331728260037</v>
      </c>
      <c r="M16" s="81">
        <f t="shared" si="5"/>
        <v>26.070190021466537</v>
      </c>
      <c r="N16" s="81">
        <f t="shared" si="5"/>
        <v>26.721944772003202</v>
      </c>
      <c r="O16" s="81">
        <f t="shared" si="5"/>
        <v>27.389993391303278</v>
      </c>
      <c r="P16" s="81">
        <f t="shared" si="5"/>
        <v>28.074743226085857</v>
      </c>
      <c r="Q16" s="81">
        <f t="shared" si="5"/>
        <v>28.776611806738</v>
      </c>
      <c r="R16" s="81">
        <f t="shared" si="5"/>
        <v>29.496027101906456</v>
      </c>
      <c r="S16" s="81">
        <f t="shared" si="5"/>
        <v>30.233427779454114</v>
      </c>
      <c r="T16" s="81">
        <f t="shared" si="5"/>
        <v>30.989263473940465</v>
      </c>
      <c r="U16" s="81">
        <f t="shared" si="5"/>
        <v>31.763995060788975</v>
      </c>
      <c r="V16" s="81">
        <f t="shared" si="5"/>
        <v>32.558094937308702</v>
      </c>
      <c r="W16" s="82">
        <f t="shared" si="5"/>
        <v>33.372047310741415</v>
      </c>
      <c r="X16" s="130"/>
    </row>
    <row r="17" spans="1:24">
      <c r="A17" s="79" t="s">
        <v>19</v>
      </c>
      <c r="B17" s="80" t="s">
        <v>117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2"/>
      <c r="X17" s="130"/>
    </row>
    <row r="18" spans="1:24">
      <c r="A18" s="79" t="s">
        <v>21</v>
      </c>
      <c r="B18" s="80" t="s">
        <v>150</v>
      </c>
      <c r="C18" s="81"/>
      <c r="D18" s="81">
        <f t="shared" ref="D18:W18" si="6">0.001*cap*12*(dem)*(1+esc)^(D$1-$C$1)</f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1">
        <f t="shared" si="6"/>
        <v>0</v>
      </c>
      <c r="P18" s="81">
        <f t="shared" si="6"/>
        <v>0</v>
      </c>
      <c r="Q18" s="81">
        <f t="shared" si="6"/>
        <v>0</v>
      </c>
      <c r="R18" s="81">
        <f t="shared" si="6"/>
        <v>0</v>
      </c>
      <c r="S18" s="81">
        <f t="shared" si="6"/>
        <v>0</v>
      </c>
      <c r="T18" s="81">
        <f t="shared" si="6"/>
        <v>0</v>
      </c>
      <c r="U18" s="81">
        <f t="shared" si="6"/>
        <v>0</v>
      </c>
      <c r="V18" s="81">
        <f t="shared" si="6"/>
        <v>0</v>
      </c>
      <c r="W18" s="82">
        <f t="shared" si="6"/>
        <v>0</v>
      </c>
      <c r="X18" s="130"/>
    </row>
    <row r="19" spans="1:24">
      <c r="A19" s="199" t="s">
        <v>35</v>
      </c>
      <c r="B19" s="356" t="s">
        <v>426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202">
        <f>IF($V$23&lt;=0,0,(1+esc)*$V$23/(dis-esc))</f>
        <v>3773.7314464653423</v>
      </c>
      <c r="X19" s="130"/>
    </row>
    <row r="20" spans="1:24">
      <c r="A20" s="195" t="s">
        <v>36</v>
      </c>
      <c r="B20" s="196" t="s">
        <v>99</v>
      </c>
      <c r="C20" s="197">
        <f t="shared" ref="C20:V20" si="7">SUM(C13:C18)</f>
        <v>1134.545435823168</v>
      </c>
      <c r="D20" s="197">
        <f t="shared" si="7"/>
        <v>125.25084328135227</v>
      </c>
      <c r="E20" s="197">
        <f t="shared" si="7"/>
        <v>128.38211436338608</v>
      </c>
      <c r="F20" s="197">
        <f t="shared" si="7"/>
        <v>131.59166722247073</v>
      </c>
      <c r="G20" s="197">
        <f t="shared" si="7"/>
        <v>134.88145890303247</v>
      </c>
      <c r="H20" s="197">
        <f t="shared" si="7"/>
        <v>138.25349537560828</v>
      </c>
      <c r="I20" s="197">
        <f t="shared" si="7"/>
        <v>141.70983275999848</v>
      </c>
      <c r="J20" s="197">
        <f t="shared" si="7"/>
        <v>145.25257857899845</v>
      </c>
      <c r="K20" s="197">
        <f t="shared" si="7"/>
        <v>148.88389304347339</v>
      </c>
      <c r="L20" s="197">
        <f t="shared" si="7"/>
        <v>152.6059903695602</v>
      </c>
      <c r="M20" s="197">
        <f t="shared" si="7"/>
        <v>156.42114012879921</v>
      </c>
      <c r="N20" s="197">
        <f t="shared" si="7"/>
        <v>160.33166863201922</v>
      </c>
      <c r="O20" s="197">
        <f t="shared" si="7"/>
        <v>164.33996034781967</v>
      </c>
      <c r="P20" s="197">
        <f t="shared" si="7"/>
        <v>168.44845935651512</v>
      </c>
      <c r="Q20" s="197">
        <f t="shared" si="7"/>
        <v>172.65967084042799</v>
      </c>
      <c r="R20" s="197">
        <f t="shared" si="7"/>
        <v>176.97616261143872</v>
      </c>
      <c r="S20" s="197">
        <f t="shared" si="7"/>
        <v>181.40056667672468</v>
      </c>
      <c r="T20" s="197">
        <f t="shared" si="7"/>
        <v>185.93558084364278</v>
      </c>
      <c r="U20" s="197">
        <f t="shared" si="7"/>
        <v>190.58397036473386</v>
      </c>
      <c r="V20" s="197">
        <f t="shared" si="7"/>
        <v>195.3485696238522</v>
      </c>
      <c r="W20" s="198">
        <f>SUM(W13:W19)</f>
        <v>3973.9637303297909</v>
      </c>
      <c r="X20" s="130"/>
    </row>
    <row r="21" spans="1:2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  <c r="X21" s="344">
        <f>0.5*C4*(1+esc)^20</f>
        <v>2453.3076947534305</v>
      </c>
    </row>
    <row r="22" spans="1:24">
      <c r="A22" s="77">
        <v>3</v>
      </c>
      <c r="B22" s="78" t="s">
        <v>112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6"/>
      <c r="X22" s="344">
        <f>(1+esc)*V23/(dis-esc)</f>
        <v>3773.7314464653423</v>
      </c>
    </row>
    <row r="23" spans="1:24">
      <c r="A23" s="79" t="s">
        <v>8</v>
      </c>
      <c r="B23" s="80" t="s">
        <v>100</v>
      </c>
      <c r="C23" s="81">
        <f t="shared" ref="C23:W23" si="8">C20-C10</f>
        <v>-1859.8193641768314</v>
      </c>
      <c r="D23" s="81">
        <f t="shared" si="8"/>
        <v>59.014340353217065</v>
      </c>
      <c r="E23" s="81">
        <f t="shared" si="8"/>
        <v>60.48969886204749</v>
      </c>
      <c r="F23" s="81">
        <f t="shared" si="8"/>
        <v>62.00194133359868</v>
      </c>
      <c r="G23" s="81">
        <f t="shared" si="8"/>
        <v>63.551989866938627</v>
      </c>
      <c r="H23" s="81">
        <f t="shared" si="8"/>
        <v>8.5703789690808776</v>
      </c>
      <c r="I23" s="81">
        <f t="shared" si="8"/>
        <v>66.769309353952394</v>
      </c>
      <c r="J23" s="81">
        <f t="shared" si="8"/>
        <v>68.43854208780121</v>
      </c>
      <c r="K23" s="81">
        <f t="shared" si="8"/>
        <v>70.149505639996235</v>
      </c>
      <c r="L23" s="81">
        <f t="shared" si="8"/>
        <v>71.903243280996122</v>
      </c>
      <c r="M23" s="81">
        <f>M20-M10</f>
        <v>-54.30763005661467</v>
      </c>
      <c r="N23" s="81">
        <f t="shared" si="8"/>
        <v>75.543344972096577</v>
      </c>
      <c r="O23" s="81">
        <f t="shared" si="8"/>
        <v>77.431928596398976</v>
      </c>
      <c r="P23" s="81">
        <f t="shared" si="8"/>
        <v>79.367726811308913</v>
      </c>
      <c r="Q23" s="81">
        <f t="shared" si="8"/>
        <v>81.351919981591635</v>
      </c>
      <c r="R23" s="81">
        <f t="shared" si="8"/>
        <v>10.970809656225924</v>
      </c>
      <c r="S23" s="81">
        <f t="shared" si="8"/>
        <v>85.470360930659737</v>
      </c>
      <c r="T23" s="81">
        <f t="shared" si="8"/>
        <v>87.60711995392623</v>
      </c>
      <c r="U23" s="81">
        <f t="shared" si="8"/>
        <v>89.797297952774386</v>
      </c>
      <c r="V23" s="81">
        <f t="shared" si="8"/>
        <v>92.042230401593727</v>
      </c>
      <c r="W23" s="82">
        <f t="shared" si="8"/>
        <v>3704.2130885979363</v>
      </c>
      <c r="X23" s="130"/>
    </row>
    <row r="24" spans="1:24">
      <c r="A24" s="79" t="s">
        <v>11</v>
      </c>
      <c r="B24" s="80" t="s">
        <v>101</v>
      </c>
      <c r="C24" s="81">
        <f>C23</f>
        <v>-1859.8193641768314</v>
      </c>
      <c r="D24" s="81">
        <f>D23/(1+dis)^(D$1-$C$1)</f>
        <v>56.204133669730538</v>
      </c>
      <c r="E24" s="81">
        <f t="shared" ref="E24:W24" si="9">E23/(1+dis)^(E$1-$C$1)</f>
        <v>54.865940010927424</v>
      </c>
      <c r="F24" s="81">
        <f t="shared" si="9"/>
        <v>53.55960810590534</v>
      </c>
      <c r="G24" s="81">
        <f t="shared" si="9"/>
        <v>52.284379341479017</v>
      </c>
      <c r="H24" s="81">
        <f t="shared" si="9"/>
        <v>6.7151161788258431</v>
      </c>
      <c r="I24" s="81">
        <f t="shared" si="9"/>
        <v>49.824286662713277</v>
      </c>
      <c r="J24" s="81">
        <f t="shared" si="9"/>
        <v>48.637994123124862</v>
      </c>
      <c r="K24" s="81">
        <f t="shared" si="9"/>
        <v>47.479946644002844</v>
      </c>
      <c r="L24" s="81">
        <f t="shared" si="9"/>
        <v>46.349471723907527</v>
      </c>
      <c r="M24" s="81">
        <f t="shared" si="9"/>
        <v>-33.34017386014424</v>
      </c>
      <c r="N24" s="81">
        <f t="shared" si="9"/>
        <v>44.168629233496922</v>
      </c>
      <c r="O24" s="81">
        <f t="shared" si="9"/>
        <v>43.116995204127946</v>
      </c>
      <c r="P24" s="81">
        <f t="shared" si="9"/>
        <v>42.090400080220107</v>
      </c>
      <c r="Q24" s="81">
        <f t="shared" si="9"/>
        <v>41.088247697357737</v>
      </c>
      <c r="R24" s="81">
        <f t="shared" si="9"/>
        <v>5.2771470245461884</v>
      </c>
      <c r="S24" s="81">
        <f t="shared" si="9"/>
        <v>39.15495713109884</v>
      </c>
      <c r="T24" s="81">
        <f t="shared" si="9"/>
        <v>38.222696247025056</v>
      </c>
      <c r="U24" s="81">
        <f t="shared" si="9"/>
        <v>37.312632050667318</v>
      </c>
      <c r="V24" s="81">
        <f t="shared" si="9"/>
        <v>36.424236049460944</v>
      </c>
      <c r="W24" s="82">
        <f t="shared" si="9"/>
        <v>1396.0789554130765</v>
      </c>
      <c r="X24" s="130"/>
    </row>
    <row r="25" spans="1:24">
      <c r="A25" s="79" t="s">
        <v>13</v>
      </c>
      <c r="B25" s="80" t="s">
        <v>102</v>
      </c>
      <c r="C25" s="81">
        <f>C23</f>
        <v>-1859.8193641768314</v>
      </c>
      <c r="D25" s="81">
        <f>SUM($C24:D24)</f>
        <v>-1803.6152305071009</v>
      </c>
      <c r="E25" s="81">
        <f>SUM($C24:E24)</f>
        <v>-1748.7492904961734</v>
      </c>
      <c r="F25" s="81">
        <f>SUM($C24:F24)</f>
        <v>-1695.189682390268</v>
      </c>
      <c r="G25" s="81">
        <f>SUM($C24:G24)</f>
        <v>-1642.9053030487889</v>
      </c>
      <c r="H25" s="81">
        <f>SUM($C24:H24)</f>
        <v>-1636.1901868699631</v>
      </c>
      <c r="I25" s="81">
        <f>SUM($C24:I24)</f>
        <v>-1586.3659002072498</v>
      </c>
      <c r="J25" s="81">
        <f>SUM($C24:J24)</f>
        <v>-1537.7279060841249</v>
      </c>
      <c r="K25" s="81">
        <f>SUM($C24:K24)</f>
        <v>-1490.247959440122</v>
      </c>
      <c r="L25" s="81">
        <f>SUM($C24:L24)</f>
        <v>-1443.8984877162145</v>
      </c>
      <c r="M25" s="81">
        <f>SUM($C24:M24)</f>
        <v>-1477.2386615763587</v>
      </c>
      <c r="N25" s="81">
        <f>SUM($C24:N24)</f>
        <v>-1433.0700323428619</v>
      </c>
      <c r="O25" s="81">
        <f>SUM($C24:O24)</f>
        <v>-1389.9530371387339</v>
      </c>
      <c r="P25" s="81">
        <f>SUM($C24:P24)</f>
        <v>-1347.8626370585137</v>
      </c>
      <c r="Q25" s="81">
        <f>SUM($C24:Q24)</f>
        <v>-1306.774389361156</v>
      </c>
      <c r="R25" s="81">
        <f>SUM($C24:R24)</f>
        <v>-1301.4972423366098</v>
      </c>
      <c r="S25" s="81">
        <f>SUM($C24:S24)</f>
        <v>-1262.342285205511</v>
      </c>
      <c r="T25" s="81">
        <f>SUM($C24:T24)</f>
        <v>-1224.119588958486</v>
      </c>
      <c r="U25" s="81">
        <f>SUM($C24:U24)</f>
        <v>-1186.8069569078186</v>
      </c>
      <c r="V25" s="81">
        <f>SUM($C24:V24)</f>
        <v>-1150.3827208583577</v>
      </c>
      <c r="W25" s="82">
        <f>SUM($C24:W24)</f>
        <v>245.69623455471879</v>
      </c>
      <c r="X25" s="130"/>
    </row>
    <row r="26" spans="1:24">
      <c r="A26" s="74"/>
      <c r="B26" s="75"/>
      <c r="C26" s="75"/>
      <c r="I26" s="75"/>
      <c r="J26" s="75"/>
      <c r="K26" s="216"/>
      <c r="L26" s="75"/>
      <c r="M26" s="75"/>
      <c r="N26" s="216"/>
      <c r="O26" s="75"/>
      <c r="P26" s="75"/>
      <c r="Q26" s="216"/>
      <c r="R26" s="75"/>
      <c r="S26" s="75"/>
      <c r="T26" s="216"/>
      <c r="U26" s="75"/>
      <c r="V26" s="75"/>
      <c r="W26" s="76"/>
      <c r="X26" s="129"/>
    </row>
    <row r="27" spans="1:24">
      <c r="A27" s="74"/>
      <c r="B27" s="84" t="s">
        <v>103</v>
      </c>
      <c r="C27" s="75"/>
      <c r="D27" s="214" t="s">
        <v>104</v>
      </c>
      <c r="E27" s="341">
        <f>'Summary - Cash'!C9</f>
        <v>2.5000000000000001E-2</v>
      </c>
      <c r="F27" s="340"/>
      <c r="G27" s="223" t="s">
        <v>105</v>
      </c>
      <c r="H27" s="341">
        <f>'Summary - Cash'!F9</f>
        <v>0.05</v>
      </c>
      <c r="I27" s="340"/>
      <c r="J27" s="214" t="s">
        <v>106</v>
      </c>
      <c r="K27" s="218">
        <f>Energy!J25</f>
        <v>814.63963109822623</v>
      </c>
      <c r="L27" s="215"/>
      <c r="M27" s="220" t="s">
        <v>153</v>
      </c>
      <c r="N27" s="221">
        <f>Energy!I25</f>
        <v>270.63395710237586</v>
      </c>
      <c r="O27" s="215"/>
      <c r="P27" s="219" t="s">
        <v>125</v>
      </c>
      <c r="Q27" s="218">
        <f>'Summary - Cash'!F20*'Summary - Cash'!B20</f>
        <v>709.09089738948001</v>
      </c>
      <c r="R27" s="215"/>
      <c r="S27" s="219" t="s">
        <v>126</v>
      </c>
      <c r="T27" s="222">
        <f>'Summary - Cash'!G20*'Summary - Cash'!B20</f>
        <v>425.45453843368801</v>
      </c>
      <c r="U27" s="215"/>
      <c r="V27" s="75"/>
      <c r="W27" s="76"/>
      <c r="X27" s="129"/>
    </row>
    <row r="28" spans="1:24">
      <c r="A28" s="74"/>
      <c r="B28" s="75"/>
      <c r="C28" s="75"/>
      <c r="D28" s="75"/>
      <c r="J28" s="75"/>
      <c r="L28" s="75"/>
      <c r="M28" s="75"/>
      <c r="N28" s="204"/>
      <c r="O28" s="75"/>
      <c r="P28" s="75"/>
      <c r="Q28" s="204"/>
      <c r="R28" s="75"/>
      <c r="S28" s="75"/>
      <c r="T28" s="204"/>
      <c r="U28" s="75"/>
      <c r="V28" s="75"/>
      <c r="W28" s="76"/>
      <c r="X28" s="129"/>
    </row>
    <row r="29" spans="1:24">
      <c r="A29" s="74"/>
      <c r="B29" s="75"/>
      <c r="C29" s="75"/>
      <c r="D29" s="223" t="s">
        <v>107</v>
      </c>
      <c r="E29" s="218">
        <f>'Summary - Cash'!H14</f>
        <v>125</v>
      </c>
      <c r="F29" s="215" t="s">
        <v>119</v>
      </c>
      <c r="G29" s="336" t="s">
        <v>382</v>
      </c>
      <c r="H29" s="97"/>
      <c r="I29" s="85" t="s">
        <v>152</v>
      </c>
      <c r="J29" s="219" t="s">
        <v>108</v>
      </c>
      <c r="K29" s="218">
        <f>'Summary - Cash'!C10</f>
        <v>25</v>
      </c>
      <c r="L29" s="215" t="s">
        <v>119</v>
      </c>
      <c r="M29" s="86" t="s">
        <v>120</v>
      </c>
      <c r="N29" s="231">
        <v>0</v>
      </c>
      <c r="O29" s="88" t="s">
        <v>109</v>
      </c>
      <c r="P29" s="89" t="s">
        <v>118</v>
      </c>
      <c r="Q29" s="87"/>
      <c r="R29" s="75" t="s">
        <v>119</v>
      </c>
      <c r="S29" s="75"/>
      <c r="T29" s="75"/>
      <c r="U29" s="75"/>
      <c r="V29" s="75"/>
      <c r="W29" s="76"/>
      <c r="X29" s="129"/>
    </row>
    <row r="30" spans="1:24">
      <c r="A30" s="74"/>
      <c r="B30" s="75"/>
      <c r="C30" s="75"/>
      <c r="D30" s="75"/>
      <c r="E30" s="204"/>
      <c r="F30" s="75"/>
      <c r="G30" s="75"/>
      <c r="H30" s="75"/>
      <c r="I30" s="75"/>
      <c r="J30" s="75"/>
      <c r="K30" s="204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  <c r="X30" s="129"/>
    </row>
    <row r="31" spans="1:24">
      <c r="A31" s="94"/>
      <c r="B31" s="98" t="s">
        <v>121</v>
      </c>
      <c r="C31" s="95"/>
      <c r="D31" s="95"/>
      <c r="E31" s="95" t="s">
        <v>122</v>
      </c>
      <c r="F31" s="95"/>
      <c r="G31" s="95"/>
      <c r="H31" s="99">
        <f>IRR($C23:$W23)</f>
        <v>5.8068114170333501E-2</v>
      </c>
      <c r="I31" s="100"/>
      <c r="J31" s="100" t="s">
        <v>102</v>
      </c>
      <c r="K31" s="101">
        <f>$W25</f>
        <v>245.69623455471879</v>
      </c>
      <c r="L31" s="100"/>
      <c r="M31" s="100"/>
      <c r="N31" s="100"/>
      <c r="O31" s="100"/>
      <c r="P31" s="102" t="s">
        <v>123</v>
      </c>
      <c r="Q31" s="103">
        <f>MATCH(1,D25:W25)</f>
        <v>19</v>
      </c>
      <c r="R31" s="95"/>
      <c r="S31" s="95"/>
      <c r="T31" s="95"/>
      <c r="U31" s="95"/>
      <c r="V31" s="95"/>
      <c r="W31" s="96"/>
      <c r="X31" s="131"/>
    </row>
    <row r="33" spans="1:13">
      <c r="B33" s="2" t="s">
        <v>113</v>
      </c>
      <c r="D33" s="3"/>
      <c r="E33" s="3"/>
      <c r="F33" s="3"/>
      <c r="G33" s="3"/>
      <c r="H33" s="3"/>
    </row>
    <row r="34" spans="1:13">
      <c r="A34">
        <v>1</v>
      </c>
      <c r="B34" t="s">
        <v>369</v>
      </c>
      <c r="D34" s="4"/>
    </row>
    <row r="35" spans="1:13">
      <c r="A35">
        <v>2</v>
      </c>
      <c r="B35" t="s">
        <v>131</v>
      </c>
      <c r="L35" s="224"/>
      <c r="M35" s="138" t="s">
        <v>307</v>
      </c>
    </row>
    <row r="36" spans="1:13">
      <c r="A36">
        <v>3</v>
      </c>
      <c r="B36" s="138" t="s">
        <v>383</v>
      </c>
      <c r="L36" s="227"/>
      <c r="M36" s="138" t="s">
        <v>308</v>
      </c>
    </row>
    <row r="37" spans="1:13">
      <c r="A37">
        <v>4</v>
      </c>
      <c r="B37" s="138" t="s">
        <v>393</v>
      </c>
    </row>
    <row r="38" spans="1:13">
      <c r="A38">
        <v>5</v>
      </c>
      <c r="B38" s="138" t="s">
        <v>425</v>
      </c>
    </row>
    <row r="41" spans="1:13">
      <c r="B41" s="6"/>
    </row>
  </sheetData>
  <sheetProtection selectLockedCells="1"/>
  <printOptions horizontalCentered="1"/>
  <pageMargins left="1" right="1" top="2.25" bottom="1" header="0.5" footer="0.5"/>
  <pageSetup paperSize="3" scale="80" orientation="landscape" r:id="rId1"/>
  <headerFooter alignWithMargins="0">
    <oddHeader>&amp;L&amp;"Arial,Bold Italic"&amp;11Privileged and Confidential&amp;C&amp;"Arial,Bold Italic"&amp;11Ten Mile River Feasibility Study
Phase 1
&amp;R&amp;"Arial,Bold Italic"&amp;11&amp;A</oddHeader>
    <oddFooter>&amp;L&amp;G&amp;C&amp;"Arial,Bold Italic"For Planning Purposes Only&amp;R&amp;"Arial,Bold Italic"&amp;F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6"/>
  </sheetPr>
  <dimension ref="A1:AD41"/>
  <sheetViews>
    <sheetView view="pageBreakPreview" topLeftCell="A3" zoomScale="80" zoomScaleNormal="75" zoomScaleSheetLayoutView="80" workbookViewId="0">
      <selection activeCell="H11" sqref="H11"/>
    </sheetView>
  </sheetViews>
  <sheetFormatPr defaultRowHeight="12.75"/>
  <cols>
    <col min="1" max="1" width="4.5703125" customWidth="1"/>
    <col min="2" max="2" width="30.85546875" customWidth="1"/>
    <col min="3" max="3" width="9.28515625" bestFit="1" customWidth="1"/>
    <col min="4" max="4" width="9.42578125" bestFit="1" customWidth="1"/>
    <col min="5" max="7" width="9.28515625" bestFit="1" customWidth="1"/>
    <col min="8" max="8" width="9.85546875" bestFit="1" customWidth="1"/>
    <col min="9" max="9" width="9.28515625" bestFit="1" customWidth="1"/>
    <col min="10" max="10" width="12.28515625" customWidth="1"/>
    <col min="11" max="11" width="12.42578125" customWidth="1"/>
    <col min="12" max="23" width="9.28515625" bestFit="1" customWidth="1"/>
    <col min="24" max="24" width="25.28515625" style="112" customWidth="1"/>
  </cols>
  <sheetData>
    <row r="1" spans="1:30" ht="26.25" thickBot="1">
      <c r="A1" s="228" t="s">
        <v>0</v>
      </c>
      <c r="B1" s="229" t="s">
        <v>92</v>
      </c>
      <c r="C1" s="229">
        <v>0</v>
      </c>
      <c r="D1" s="229">
        <v>1</v>
      </c>
      <c r="E1" s="229">
        <v>2</v>
      </c>
      <c r="F1" s="229">
        <v>3</v>
      </c>
      <c r="G1" s="229">
        <v>4</v>
      </c>
      <c r="H1" s="229">
        <v>5</v>
      </c>
      <c r="I1" s="229">
        <v>6</v>
      </c>
      <c r="J1" s="229">
        <v>7</v>
      </c>
      <c r="K1" s="229">
        <v>8</v>
      </c>
      <c r="L1" s="229">
        <v>9</v>
      </c>
      <c r="M1" s="229">
        <v>10</v>
      </c>
      <c r="N1" s="229">
        <v>11</v>
      </c>
      <c r="O1" s="229">
        <v>12</v>
      </c>
      <c r="P1" s="229">
        <v>13</v>
      </c>
      <c r="Q1" s="229">
        <v>14</v>
      </c>
      <c r="R1" s="229">
        <v>15</v>
      </c>
      <c r="S1" s="229">
        <v>16</v>
      </c>
      <c r="T1" s="229">
        <v>17</v>
      </c>
      <c r="U1" s="229">
        <v>18</v>
      </c>
      <c r="V1" s="229">
        <v>19</v>
      </c>
      <c r="W1" s="230">
        <v>20</v>
      </c>
      <c r="X1" s="120" t="s">
        <v>199</v>
      </c>
      <c r="AA1" s="1"/>
      <c r="AB1" s="1"/>
      <c r="AC1" s="1"/>
      <c r="AD1" s="1"/>
    </row>
    <row r="2" spans="1:30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6"/>
      <c r="X2" s="129"/>
    </row>
    <row r="3" spans="1:30">
      <c r="A3" s="77">
        <v>1</v>
      </c>
      <c r="B3" s="78" t="s">
        <v>110</v>
      </c>
      <c r="C3" s="216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129"/>
    </row>
    <row r="4" spans="1:30">
      <c r="A4" s="79" t="s">
        <v>8</v>
      </c>
      <c r="B4" s="225" t="s">
        <v>93</v>
      </c>
      <c r="C4" s="227">
        <f>'Costs E - Francis Restored'!F137</f>
        <v>2703.3431964667202</v>
      </c>
      <c r="D4" s="226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130"/>
    </row>
    <row r="5" spans="1:30" ht="14.25" customHeight="1">
      <c r="A5" s="79" t="s">
        <v>11</v>
      </c>
      <c r="B5" s="80" t="s">
        <v>94</v>
      </c>
      <c r="C5" s="197"/>
      <c r="D5" s="81">
        <f t="shared" ref="D5:W5" si="0">mwh*(0.015)*(1+esc)^(D$1-$C$1)</f>
        <v>5.1481591217859615</v>
      </c>
      <c r="E5" s="81">
        <f t="shared" si="0"/>
        <v>5.2768630998306101</v>
      </c>
      <c r="F5" s="81">
        <f t="shared" si="0"/>
        <v>5.4087846773263752</v>
      </c>
      <c r="G5" s="81">
        <f t="shared" si="0"/>
        <v>5.5440042942595342</v>
      </c>
      <c r="H5" s="81">
        <f t="shared" si="0"/>
        <v>5.6826044016160218</v>
      </c>
      <c r="I5" s="81">
        <f t="shared" si="0"/>
        <v>5.8246695116564222</v>
      </c>
      <c r="J5" s="81">
        <f t="shared" si="0"/>
        <v>5.9702862494478328</v>
      </c>
      <c r="K5" s="81">
        <f t="shared" si="0"/>
        <v>6.1195434056840279</v>
      </c>
      <c r="L5" s="81">
        <f t="shared" si="0"/>
        <v>6.2725319908261277</v>
      </c>
      <c r="M5" s="81">
        <f t="shared" si="0"/>
        <v>6.4293452905967809</v>
      </c>
      <c r="N5" s="81">
        <f t="shared" si="0"/>
        <v>6.5900789228617001</v>
      </c>
      <c r="O5" s="81">
        <f t="shared" si="0"/>
        <v>6.7548308959332424</v>
      </c>
      <c r="P5" s="81">
        <f t="shared" si="0"/>
        <v>6.9237016683315735</v>
      </c>
      <c r="Q5" s="81">
        <f t="shared" si="0"/>
        <v>7.096794210039862</v>
      </c>
      <c r="R5" s="81">
        <f t="shared" si="0"/>
        <v>7.2742140652908596</v>
      </c>
      <c r="S5" s="81">
        <f t="shared" si="0"/>
        <v>7.4560694169231301</v>
      </c>
      <c r="T5" s="81">
        <f t="shared" si="0"/>
        <v>7.6424711523462072</v>
      </c>
      <c r="U5" s="81">
        <f t="shared" si="0"/>
        <v>7.8335329311548634</v>
      </c>
      <c r="V5" s="81">
        <f t="shared" si="0"/>
        <v>8.0293712544337339</v>
      </c>
      <c r="W5" s="81">
        <f t="shared" si="0"/>
        <v>8.2301055357945767</v>
      </c>
      <c r="X5" s="130"/>
    </row>
    <row r="6" spans="1:30">
      <c r="A6" s="79" t="s">
        <v>13</v>
      </c>
      <c r="B6" s="80" t="s">
        <v>95</v>
      </c>
      <c r="C6" s="81"/>
      <c r="D6" s="81"/>
      <c r="E6" s="81"/>
      <c r="F6" s="81"/>
      <c r="G6" s="81"/>
      <c r="H6" s="81">
        <f>50*(1+esc)^(H1-$C1)</f>
        <v>56.570410644531236</v>
      </c>
      <c r="I6" s="81"/>
      <c r="J6" s="81"/>
      <c r="K6" s="81"/>
      <c r="L6" s="81"/>
      <c r="M6" s="81">
        <f>100*(1+esc)^(M1-$C1)</f>
        <v>128.00845441963571</v>
      </c>
      <c r="N6" s="81"/>
      <c r="O6" s="81"/>
      <c r="P6" s="81"/>
      <c r="Q6" s="81"/>
      <c r="R6" s="81">
        <f>50*(1+esc)^(R1-$C1)</f>
        <v>72.414908324905525</v>
      </c>
      <c r="S6" s="81"/>
      <c r="T6" s="81"/>
      <c r="U6" s="81"/>
      <c r="V6" s="81"/>
      <c r="W6" s="82">
        <f>100*(1+esc)^(W1-$C1)</f>
        <v>163.86164402903955</v>
      </c>
      <c r="X6" s="130"/>
    </row>
    <row r="7" spans="1:30">
      <c r="A7" s="79" t="s">
        <v>16</v>
      </c>
      <c r="B7" s="332" t="s">
        <v>368</v>
      </c>
      <c r="C7" s="81"/>
      <c r="D7" s="81">
        <f t="shared" ref="D7:W7" si="1">(0.0025*$C$4*(1+esc)^(D$1-$C$1))</f>
        <v>6.9273169409459694</v>
      </c>
      <c r="E7" s="81">
        <f t="shared" si="1"/>
        <v>7.1004998644696187</v>
      </c>
      <c r="F7" s="81">
        <f t="shared" si="1"/>
        <v>7.278012361081359</v>
      </c>
      <c r="G7" s="81">
        <f t="shared" si="1"/>
        <v>7.4599626701083928</v>
      </c>
      <c r="H7" s="81">
        <f t="shared" si="1"/>
        <v>7.6464617368611014</v>
      </c>
      <c r="I7" s="81">
        <f t="shared" si="1"/>
        <v>7.8376232802826289</v>
      </c>
      <c r="J7" s="81">
        <f t="shared" si="1"/>
        <v>8.0335638622896948</v>
      </c>
      <c r="K7" s="81">
        <f t="shared" si="1"/>
        <v>8.2344029588469372</v>
      </c>
      <c r="L7" s="81">
        <f t="shared" si="1"/>
        <v>8.440263032818109</v>
      </c>
      <c r="M7" s="81">
        <f t="shared" si="1"/>
        <v>8.651269608638561</v>
      </c>
      <c r="N7" s="81">
        <f t="shared" si="1"/>
        <v>8.8675513488545246</v>
      </c>
      <c r="O7" s="81">
        <f t="shared" si="1"/>
        <v>9.0892401325758865</v>
      </c>
      <c r="P7" s="81">
        <f t="shared" si="1"/>
        <v>9.3164711358902839</v>
      </c>
      <c r="Q7" s="81">
        <f t="shared" si="1"/>
        <v>9.5493829142875395</v>
      </c>
      <c r="R7" s="81">
        <f t="shared" si="1"/>
        <v>9.7881174871447296</v>
      </c>
      <c r="S7" s="81">
        <f t="shared" si="1"/>
        <v>10.032820424323347</v>
      </c>
      <c r="T7" s="81">
        <f t="shared" si="1"/>
        <v>10.28364093493143</v>
      </c>
      <c r="U7" s="81">
        <f t="shared" si="1"/>
        <v>10.540731958304717</v>
      </c>
      <c r="V7" s="81">
        <f t="shared" si="1"/>
        <v>10.804250257262334</v>
      </c>
      <c r="W7" s="81">
        <f t="shared" si="1"/>
        <v>11.074356513693891</v>
      </c>
      <c r="X7" s="130"/>
    </row>
    <row r="8" spans="1:30">
      <c r="A8" s="79" t="s">
        <v>19</v>
      </c>
      <c r="B8" s="332" t="s">
        <v>381</v>
      </c>
      <c r="C8" s="81"/>
      <c r="D8" s="81">
        <f t="shared" ref="D8:W8" si="2">(0.015*$C$4*(1+esc)^(D$1-$C$1))</f>
        <v>41.56390164567582</v>
      </c>
      <c r="E8" s="81">
        <f t="shared" si="2"/>
        <v>42.602999186817712</v>
      </c>
      <c r="F8" s="81">
        <f t="shared" si="2"/>
        <v>43.668074166488154</v>
      </c>
      <c r="G8" s="81">
        <f t="shared" si="2"/>
        <v>44.759776020650357</v>
      </c>
      <c r="H8" s="81">
        <f t="shared" si="2"/>
        <v>45.878770421166607</v>
      </c>
      <c r="I8" s="81">
        <f t="shared" si="2"/>
        <v>47.025739681695768</v>
      </c>
      <c r="J8" s="81">
        <f t="shared" si="2"/>
        <v>48.201383173738165</v>
      </c>
      <c r="K8" s="81">
        <f t="shared" si="2"/>
        <v>49.40641775308162</v>
      </c>
      <c r="L8" s="81">
        <f t="shared" si="2"/>
        <v>50.641578196908647</v>
      </c>
      <c r="M8" s="81">
        <f t="shared" si="2"/>
        <v>51.907617651831366</v>
      </c>
      <c r="N8" s="81">
        <f t="shared" si="2"/>
        <v>53.205308093127151</v>
      </c>
      <c r="O8" s="81">
        <f t="shared" si="2"/>
        <v>54.535440795455322</v>
      </c>
      <c r="P8" s="81">
        <f t="shared" si="2"/>
        <v>55.898826815341707</v>
      </c>
      <c r="Q8" s="81">
        <f t="shared" si="2"/>
        <v>57.296297485725241</v>
      </c>
      <c r="R8" s="81">
        <f t="shared" si="2"/>
        <v>58.728704922868381</v>
      </c>
      <c r="S8" s="81">
        <f t="shared" si="2"/>
        <v>60.196922545940083</v>
      </c>
      <c r="T8" s="81">
        <f t="shared" si="2"/>
        <v>61.701845609588581</v>
      </c>
      <c r="U8" s="81">
        <f t="shared" si="2"/>
        <v>63.244391749828296</v>
      </c>
      <c r="V8" s="81">
        <f t="shared" si="2"/>
        <v>64.825501543574006</v>
      </c>
      <c r="W8" s="81">
        <f t="shared" si="2"/>
        <v>66.446139082163342</v>
      </c>
      <c r="X8" s="130"/>
    </row>
    <row r="9" spans="1:30">
      <c r="A9" s="199" t="s">
        <v>21</v>
      </c>
      <c r="B9" s="200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2"/>
      <c r="X9" s="130"/>
    </row>
    <row r="10" spans="1:30">
      <c r="A10" s="195" t="s">
        <v>35</v>
      </c>
      <c r="B10" s="196" t="s">
        <v>96</v>
      </c>
      <c r="C10" s="197">
        <f t="shared" ref="C10:W10" si="3">SUM(C4:C9)</f>
        <v>2703.3431964667202</v>
      </c>
      <c r="D10" s="197">
        <f t="shared" si="3"/>
        <v>53.63937770840775</v>
      </c>
      <c r="E10" s="197">
        <f t="shared" si="3"/>
        <v>54.980362151117944</v>
      </c>
      <c r="F10" s="197">
        <f t="shared" si="3"/>
        <v>56.354871204895886</v>
      </c>
      <c r="G10" s="197">
        <f t="shared" si="3"/>
        <v>57.763742985018283</v>
      </c>
      <c r="H10" s="197">
        <f t="shared" si="3"/>
        <v>115.77824720417496</v>
      </c>
      <c r="I10" s="197">
        <f t="shared" si="3"/>
        <v>60.68803247363482</v>
      </c>
      <c r="J10" s="197">
        <f t="shared" si="3"/>
        <v>62.205233285475693</v>
      </c>
      <c r="K10" s="197">
        <f t="shared" si="3"/>
        <v>63.760364117612582</v>
      </c>
      <c r="L10" s="197">
        <f t="shared" si="3"/>
        <v>65.354373220552887</v>
      </c>
      <c r="M10" s="197">
        <f>SUM(M4:M9)</f>
        <v>194.99668697070243</v>
      </c>
      <c r="N10" s="197">
        <f>SUM(N4:N9)</f>
        <v>68.66293836484337</v>
      </c>
      <c r="O10" s="197">
        <f t="shared" si="3"/>
        <v>70.379511823964449</v>
      </c>
      <c r="P10" s="197">
        <f t="shared" si="3"/>
        <v>72.138999619563563</v>
      </c>
      <c r="Q10" s="197">
        <f t="shared" si="3"/>
        <v>73.942474610052642</v>
      </c>
      <c r="R10" s="197">
        <f t="shared" si="3"/>
        <v>148.20594480020949</v>
      </c>
      <c r="S10" s="197">
        <f t="shared" si="3"/>
        <v>77.685812387186559</v>
      </c>
      <c r="T10" s="197">
        <f t="shared" si="3"/>
        <v>79.627957696866218</v>
      </c>
      <c r="U10" s="197">
        <f t="shared" si="3"/>
        <v>81.618656639287877</v>
      </c>
      <c r="V10" s="197">
        <f t="shared" si="3"/>
        <v>83.659123055270072</v>
      </c>
      <c r="W10" s="198">
        <f t="shared" si="3"/>
        <v>249.61224516069134</v>
      </c>
      <c r="X10" s="130"/>
    </row>
    <row r="11" spans="1:30">
      <c r="A11" s="74"/>
      <c r="B11" s="7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2"/>
      <c r="X11" s="130"/>
    </row>
    <row r="12" spans="1:30">
      <c r="A12" s="77">
        <v>2</v>
      </c>
      <c r="B12" s="78" t="s">
        <v>111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2"/>
      <c r="X12" s="130"/>
    </row>
    <row r="13" spans="1:30">
      <c r="A13" s="79" t="s">
        <v>8</v>
      </c>
      <c r="B13" s="80" t="s">
        <v>125</v>
      </c>
      <c r="C13" s="81">
        <f>$Q$27</f>
        <v>675.83579911668005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2"/>
      <c r="X13" s="130"/>
    </row>
    <row r="14" spans="1:30">
      <c r="A14" s="79" t="s">
        <v>11</v>
      </c>
      <c r="B14" s="80" t="s">
        <v>127</v>
      </c>
      <c r="C14" s="81">
        <f>T27</f>
        <v>405.50147947000801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  <c r="X14" s="130"/>
    </row>
    <row r="15" spans="1:30">
      <c r="A15" s="79" t="s">
        <v>13</v>
      </c>
      <c r="B15" s="80" t="s">
        <v>97</v>
      </c>
      <c r="C15" s="81"/>
      <c r="D15" s="81">
        <f t="shared" ref="D15:W15" si="4">0.001*mwh*$E$29*(1+esc)^(D$1-$C$1)</f>
        <v>42.901326014883011</v>
      </c>
      <c r="E15" s="81">
        <f t="shared" si="4"/>
        <v>43.973859165255085</v>
      </c>
      <c r="F15" s="81">
        <f t="shared" si="4"/>
        <v>45.073205644386462</v>
      </c>
      <c r="G15" s="81">
        <f t="shared" si="4"/>
        <v>46.200035785496119</v>
      </c>
      <c r="H15" s="81">
        <f t="shared" si="4"/>
        <v>47.355036680133516</v>
      </c>
      <c r="I15" s="81">
        <f t="shared" si="4"/>
        <v>48.53891259713685</v>
      </c>
      <c r="J15" s="81">
        <f t="shared" si="4"/>
        <v>49.752385412065273</v>
      </c>
      <c r="K15" s="81">
        <f t="shared" si="4"/>
        <v>50.996195047366903</v>
      </c>
      <c r="L15" s="81">
        <f t="shared" si="4"/>
        <v>52.27109992355107</v>
      </c>
      <c r="M15" s="81">
        <f t="shared" si="4"/>
        <v>53.57787742163984</v>
      </c>
      <c r="N15" s="81">
        <f t="shared" si="4"/>
        <v>54.917324357180838</v>
      </c>
      <c r="O15" s="81">
        <f t="shared" si="4"/>
        <v>56.290257466110354</v>
      </c>
      <c r="P15" s="81">
        <f t="shared" si="4"/>
        <v>57.697513902763113</v>
      </c>
      <c r="Q15" s="81">
        <f t="shared" si="4"/>
        <v>59.13995175033218</v>
      </c>
      <c r="R15" s="81">
        <f t="shared" si="4"/>
        <v>60.6184505440905</v>
      </c>
      <c r="S15" s="81">
        <f t="shared" si="4"/>
        <v>62.133911807692755</v>
      </c>
      <c r="T15" s="81">
        <f t="shared" si="4"/>
        <v>63.687259602885064</v>
      </c>
      <c r="U15" s="81">
        <f t="shared" si="4"/>
        <v>65.2794410929572</v>
      </c>
      <c r="V15" s="81">
        <f t="shared" si="4"/>
        <v>66.911427120281118</v>
      </c>
      <c r="W15" s="81">
        <f t="shared" si="4"/>
        <v>68.584212798288149</v>
      </c>
      <c r="X15" s="105"/>
    </row>
    <row r="16" spans="1:30">
      <c r="A16" s="79" t="s">
        <v>16</v>
      </c>
      <c r="B16" s="80" t="s">
        <v>98</v>
      </c>
      <c r="C16" s="81"/>
      <c r="D16" s="81">
        <f>0.001*mwh*rec*(1+esc)^(D$1-$C$1)</f>
        <v>8.5802652029766033</v>
      </c>
      <c r="E16" s="81">
        <f t="shared" ref="E16:W16" si="5">0.001*mwh*rec*(1+esc)^(E$1-$C$1)</f>
        <v>8.7947718330510174</v>
      </c>
      <c r="F16" s="81">
        <f t="shared" si="5"/>
        <v>9.0146411288772921</v>
      </c>
      <c r="G16" s="81">
        <f t="shared" si="5"/>
        <v>9.2400071570992246</v>
      </c>
      <c r="H16" s="81">
        <f t="shared" si="5"/>
        <v>9.4710073360267035</v>
      </c>
      <c r="I16" s="81">
        <f t="shared" si="5"/>
        <v>9.7077825194273704</v>
      </c>
      <c r="J16" s="81">
        <f t="shared" si="5"/>
        <v>9.9504770824130553</v>
      </c>
      <c r="K16" s="81">
        <f t="shared" si="5"/>
        <v>10.199239009473381</v>
      </c>
      <c r="L16" s="81">
        <f t="shared" si="5"/>
        <v>10.454219984710214</v>
      </c>
      <c r="M16" s="81">
        <f t="shared" si="5"/>
        <v>10.715575484327969</v>
      </c>
      <c r="N16" s="81">
        <f t="shared" si="5"/>
        <v>10.983464871436167</v>
      </c>
      <c r="O16" s="81">
        <f t="shared" si="5"/>
        <v>11.258051493222071</v>
      </c>
      <c r="P16" s="81">
        <f t="shared" si="5"/>
        <v>11.539502780552622</v>
      </c>
      <c r="Q16" s="81">
        <f t="shared" si="5"/>
        <v>11.827990350066438</v>
      </c>
      <c r="R16" s="81">
        <f t="shared" si="5"/>
        <v>12.123690108818099</v>
      </c>
      <c r="S16" s="81">
        <f t="shared" si="5"/>
        <v>12.426782361538551</v>
      </c>
      <c r="T16" s="81">
        <f t="shared" si="5"/>
        <v>12.737451920577014</v>
      </c>
      <c r="U16" s="81">
        <f t="shared" si="5"/>
        <v>13.05588821859144</v>
      </c>
      <c r="V16" s="81">
        <f t="shared" si="5"/>
        <v>13.382285424056226</v>
      </c>
      <c r="W16" s="82">
        <f t="shared" si="5"/>
        <v>13.716842559657628</v>
      </c>
      <c r="X16" s="130"/>
    </row>
    <row r="17" spans="1:24">
      <c r="A17" s="79" t="s">
        <v>19</v>
      </c>
      <c r="B17" s="80" t="s">
        <v>117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2"/>
      <c r="X17" s="130"/>
    </row>
    <row r="18" spans="1:24">
      <c r="A18" s="79" t="s">
        <v>21</v>
      </c>
      <c r="B18" s="80" t="s">
        <v>150</v>
      </c>
      <c r="C18" s="81"/>
      <c r="D18" s="81">
        <f t="shared" ref="D18:W18" si="6">0.001*cap*12*(dem)*(1+esc)^(D$1-$C$1)</f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1">
        <f t="shared" si="6"/>
        <v>0</v>
      </c>
      <c r="P18" s="81">
        <f t="shared" si="6"/>
        <v>0</v>
      </c>
      <c r="Q18" s="81">
        <f t="shared" si="6"/>
        <v>0</v>
      </c>
      <c r="R18" s="81">
        <f t="shared" si="6"/>
        <v>0</v>
      </c>
      <c r="S18" s="81">
        <f t="shared" si="6"/>
        <v>0</v>
      </c>
      <c r="T18" s="81">
        <f t="shared" si="6"/>
        <v>0</v>
      </c>
      <c r="U18" s="81">
        <f t="shared" si="6"/>
        <v>0</v>
      </c>
      <c r="V18" s="81">
        <f t="shared" si="6"/>
        <v>0</v>
      </c>
      <c r="W18" s="82">
        <f t="shared" si="6"/>
        <v>0</v>
      </c>
      <c r="X18" s="130"/>
    </row>
    <row r="19" spans="1:24">
      <c r="A19" s="199" t="s">
        <v>35</v>
      </c>
      <c r="B19" s="356" t="s">
        <v>426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202">
        <f>IF($V$23&lt;=0,0,(1+esc)*$V$23/(dis-esc))</f>
        <v>0</v>
      </c>
      <c r="X19" s="130"/>
    </row>
    <row r="20" spans="1:24">
      <c r="A20" s="195" t="s">
        <v>36</v>
      </c>
      <c r="B20" s="196" t="s">
        <v>99</v>
      </c>
      <c r="C20" s="197">
        <f t="shared" ref="C20:V20" si="7">SUM(C13:C18)</f>
        <v>1081.3372785866882</v>
      </c>
      <c r="D20" s="197">
        <f t="shared" si="7"/>
        <v>51.481591217859616</v>
      </c>
      <c r="E20" s="197">
        <f t="shared" si="7"/>
        <v>52.768630998306101</v>
      </c>
      <c r="F20" s="197">
        <f t="shared" si="7"/>
        <v>54.087846773263756</v>
      </c>
      <c r="G20" s="197">
        <f t="shared" si="7"/>
        <v>55.44004294259534</v>
      </c>
      <c r="H20" s="197">
        <f t="shared" si="7"/>
        <v>56.826044016160218</v>
      </c>
      <c r="I20" s="197">
        <f t="shared" si="7"/>
        <v>58.246695116564219</v>
      </c>
      <c r="J20" s="197">
        <f t="shared" si="7"/>
        <v>59.702862494478325</v>
      </c>
      <c r="K20" s="197">
        <f t="shared" si="7"/>
        <v>61.195434056840284</v>
      </c>
      <c r="L20" s="197">
        <f t="shared" si="7"/>
        <v>62.725319908261284</v>
      </c>
      <c r="M20" s="197">
        <f t="shared" si="7"/>
        <v>64.293452905967811</v>
      </c>
      <c r="N20" s="197">
        <f t="shared" si="7"/>
        <v>65.900789228617001</v>
      </c>
      <c r="O20" s="197">
        <f t="shared" si="7"/>
        <v>67.548308959332431</v>
      </c>
      <c r="P20" s="197">
        <f t="shared" si="7"/>
        <v>69.23701668331573</v>
      </c>
      <c r="Q20" s="197">
        <f t="shared" si="7"/>
        <v>70.967942100398616</v>
      </c>
      <c r="R20" s="197">
        <f t="shared" si="7"/>
        <v>72.742140652908603</v>
      </c>
      <c r="S20" s="197">
        <f t="shared" si="7"/>
        <v>74.560694169231311</v>
      </c>
      <c r="T20" s="197">
        <f t="shared" si="7"/>
        <v>76.424711523462079</v>
      </c>
      <c r="U20" s="197">
        <f t="shared" si="7"/>
        <v>78.335329311548634</v>
      </c>
      <c r="V20" s="197">
        <f t="shared" si="7"/>
        <v>80.293712544337339</v>
      </c>
      <c r="W20" s="198">
        <f>SUM(W13:W19)</f>
        <v>82.301055357945785</v>
      </c>
      <c r="X20" s="130"/>
    </row>
    <row r="21" spans="1:2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  <c r="X21" s="344">
        <f>0.5*C4*(1+esc)^20</f>
        <v>2214.871302738778</v>
      </c>
    </row>
    <row r="22" spans="1:24">
      <c r="A22" s="77">
        <v>3</v>
      </c>
      <c r="B22" s="78" t="s">
        <v>112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6"/>
      <c r="X22" s="344">
        <f>(1+esc)*V23/(dis-esc)</f>
        <v>-137.98183094824205</v>
      </c>
    </row>
    <row r="23" spans="1:24">
      <c r="A23" s="79" t="s">
        <v>8</v>
      </c>
      <c r="B23" s="80" t="s">
        <v>100</v>
      </c>
      <c r="C23" s="81">
        <f t="shared" ref="C23:W23" si="8">C20-C10</f>
        <v>-1622.005917880032</v>
      </c>
      <c r="D23" s="81">
        <f t="shared" si="8"/>
        <v>-2.1577864905481334</v>
      </c>
      <c r="E23" s="81">
        <f t="shared" si="8"/>
        <v>-2.2117311528118435</v>
      </c>
      <c r="F23" s="81">
        <f t="shared" si="8"/>
        <v>-2.2670244316321302</v>
      </c>
      <c r="G23" s="81">
        <f t="shared" si="8"/>
        <v>-2.3237000424229421</v>
      </c>
      <c r="H23" s="81">
        <f t="shared" si="8"/>
        <v>-58.952203188014742</v>
      </c>
      <c r="I23" s="81">
        <f t="shared" si="8"/>
        <v>-2.4413373570706014</v>
      </c>
      <c r="J23" s="81">
        <f t="shared" si="8"/>
        <v>-2.502370790997368</v>
      </c>
      <c r="K23" s="81">
        <f t="shared" si="8"/>
        <v>-2.5649300607722978</v>
      </c>
      <c r="L23" s="81">
        <f t="shared" si="8"/>
        <v>-2.6290533122916031</v>
      </c>
      <c r="M23" s="81">
        <f>M20-M10</f>
        <v>-130.7032340647346</v>
      </c>
      <c r="N23" s="81">
        <f t="shared" si="8"/>
        <v>-2.7621491362263697</v>
      </c>
      <c r="O23" s="81">
        <f t="shared" si="8"/>
        <v>-2.8312028646320186</v>
      </c>
      <c r="P23" s="81">
        <f t="shared" si="8"/>
        <v>-2.9019829362478333</v>
      </c>
      <c r="Q23" s="81">
        <f t="shared" si="8"/>
        <v>-2.9745325096540256</v>
      </c>
      <c r="R23" s="81">
        <f t="shared" si="8"/>
        <v>-75.463804147300891</v>
      </c>
      <c r="S23" s="81">
        <f t="shared" si="8"/>
        <v>-3.1251182179552472</v>
      </c>
      <c r="T23" s="81">
        <f t="shared" si="8"/>
        <v>-3.2032461734041391</v>
      </c>
      <c r="U23" s="81">
        <f t="shared" si="8"/>
        <v>-3.2833273277392436</v>
      </c>
      <c r="V23" s="81">
        <f t="shared" si="8"/>
        <v>-3.3654105109327332</v>
      </c>
      <c r="W23" s="82">
        <f t="shared" si="8"/>
        <v>-167.31118980274556</v>
      </c>
      <c r="X23" s="130"/>
    </row>
    <row r="24" spans="1:24">
      <c r="A24" s="79" t="s">
        <v>11</v>
      </c>
      <c r="B24" s="80" t="s">
        <v>101</v>
      </c>
      <c r="C24" s="81">
        <f>C23</f>
        <v>-1622.005917880032</v>
      </c>
      <c r="D24" s="81">
        <f>D23/(1+dis)^(D$1-$C$1)</f>
        <v>-2.055034752902984</v>
      </c>
      <c r="E24" s="81">
        <f t="shared" ref="E24:W24" si="9">E23/(1+dis)^(E$1-$C$1)</f>
        <v>-2.0061053540243479</v>
      </c>
      <c r="F24" s="81">
        <f t="shared" si="9"/>
        <v>-1.9583409408332837</v>
      </c>
      <c r="G24" s="81">
        <f t="shared" si="9"/>
        <v>-1.9117137755753557</v>
      </c>
      <c r="H24" s="81">
        <f t="shared" si="9"/>
        <v>-46.190593768774853</v>
      </c>
      <c r="I24" s="81">
        <f t="shared" si="9"/>
        <v>-1.8217635242302552</v>
      </c>
      <c r="J24" s="81">
        <f t="shared" si="9"/>
        <v>-1.7783882022247737</v>
      </c>
      <c r="K24" s="81">
        <f t="shared" si="9"/>
        <v>-1.7360456259813239</v>
      </c>
      <c r="L24" s="81">
        <f t="shared" si="9"/>
        <v>-1.6947112063151004</v>
      </c>
      <c r="M24" s="81">
        <f t="shared" si="9"/>
        <v>-80.240447672980622</v>
      </c>
      <c r="N24" s="81">
        <f t="shared" si="9"/>
        <v>-1.6149713933195509</v>
      </c>
      <c r="O24" s="81">
        <f t="shared" si="9"/>
        <v>-1.5765196934786039</v>
      </c>
      <c r="P24" s="81">
        <f t="shared" si="9"/>
        <v>-1.5389835103005491</v>
      </c>
      <c r="Q24" s="81">
        <f t="shared" si="9"/>
        <v>-1.5023410457695821</v>
      </c>
      <c r="R24" s="81">
        <f t="shared" si="9"/>
        <v>-36.299380081839992</v>
      </c>
      <c r="S24" s="81">
        <f t="shared" si="9"/>
        <v>-1.4316526632305306</v>
      </c>
      <c r="T24" s="81">
        <f t="shared" si="9"/>
        <v>-1.3975656950583797</v>
      </c>
      <c r="U24" s="81">
        <f t="shared" si="9"/>
        <v>-1.3642903213665141</v>
      </c>
      <c r="V24" s="81">
        <f t="shared" si="9"/>
        <v>-1.3318072184768384</v>
      </c>
      <c r="W24" s="82">
        <f t="shared" si="9"/>
        <v>-63.057827803623226</v>
      </c>
      <c r="X24" s="130"/>
    </row>
    <row r="25" spans="1:24">
      <c r="A25" s="79" t="s">
        <v>13</v>
      </c>
      <c r="B25" s="80" t="s">
        <v>102</v>
      </c>
      <c r="C25" s="81">
        <f>C23</f>
        <v>-1622.005917880032</v>
      </c>
      <c r="D25" s="81">
        <f>SUM($C24:D24)</f>
        <v>-1624.0609526329349</v>
      </c>
      <c r="E25" s="81">
        <f>SUM($C24:E24)</f>
        <v>-1626.0670579869593</v>
      </c>
      <c r="F25" s="81">
        <f>SUM($C24:F24)</f>
        <v>-1628.0253989277926</v>
      </c>
      <c r="G25" s="81">
        <f>SUM($C24:G24)</f>
        <v>-1629.937112703368</v>
      </c>
      <c r="H25" s="81">
        <f>SUM($C24:H24)</f>
        <v>-1676.1277064721428</v>
      </c>
      <c r="I25" s="81">
        <f>SUM($C24:I24)</f>
        <v>-1677.949469996373</v>
      </c>
      <c r="J25" s="81">
        <f>SUM($C24:J24)</f>
        <v>-1679.7278581985977</v>
      </c>
      <c r="K25" s="81">
        <f>SUM($C24:K24)</f>
        <v>-1681.4639038245791</v>
      </c>
      <c r="L25" s="81">
        <f>SUM($C24:L24)</f>
        <v>-1683.1586150308942</v>
      </c>
      <c r="M25" s="81">
        <f>SUM($C24:M24)</f>
        <v>-1763.3990627038747</v>
      </c>
      <c r="N25" s="81">
        <f>SUM($C24:N24)</f>
        <v>-1765.0140340971943</v>
      </c>
      <c r="O25" s="81">
        <f>SUM($C24:O24)</f>
        <v>-1766.5905537906729</v>
      </c>
      <c r="P25" s="81">
        <f>SUM($C24:P24)</f>
        <v>-1768.1295373009734</v>
      </c>
      <c r="Q25" s="81">
        <f>SUM($C24:Q24)</f>
        <v>-1769.631878346743</v>
      </c>
      <c r="R25" s="81">
        <f>SUM($C24:R24)</f>
        <v>-1805.9312584285829</v>
      </c>
      <c r="S25" s="81">
        <f>SUM($C24:S24)</f>
        <v>-1807.3629110918134</v>
      </c>
      <c r="T25" s="81">
        <f>SUM($C24:T24)</f>
        <v>-1808.7604767868718</v>
      </c>
      <c r="U25" s="81">
        <f>SUM($C24:U24)</f>
        <v>-1810.1247671082383</v>
      </c>
      <c r="V25" s="81">
        <f>SUM($C24:V24)</f>
        <v>-1811.4565743267151</v>
      </c>
      <c r="W25" s="82">
        <f>SUM($C24:W24)</f>
        <v>-1874.5144021303383</v>
      </c>
      <c r="X25" s="130"/>
    </row>
    <row r="26" spans="1:24">
      <c r="A26" s="74"/>
      <c r="B26" s="75"/>
      <c r="C26" s="75"/>
      <c r="D26" s="83"/>
      <c r="F26" s="75"/>
      <c r="G26" s="75"/>
      <c r="I26" s="75"/>
      <c r="J26" s="75"/>
      <c r="K26" s="216"/>
      <c r="L26" s="75"/>
      <c r="M26" s="75"/>
      <c r="N26" s="216"/>
      <c r="O26" s="75"/>
      <c r="P26" s="75"/>
      <c r="Q26" s="216"/>
      <c r="R26" s="75"/>
      <c r="S26" s="75"/>
      <c r="T26" s="216"/>
      <c r="U26" s="75"/>
      <c r="V26" s="75"/>
      <c r="W26" s="76"/>
      <c r="X26" s="129"/>
    </row>
    <row r="27" spans="1:24">
      <c r="A27" s="74"/>
      <c r="B27" s="84" t="s">
        <v>103</v>
      </c>
      <c r="C27" s="75"/>
      <c r="D27" s="214" t="s">
        <v>104</v>
      </c>
      <c r="E27" s="341">
        <f>'Summary - Cash'!C9</f>
        <v>2.5000000000000001E-2</v>
      </c>
      <c r="F27" s="340"/>
      <c r="G27" s="223" t="s">
        <v>105</v>
      </c>
      <c r="H27" s="341">
        <f>'Summary - Cash'!F9</f>
        <v>0.05</v>
      </c>
      <c r="I27" s="340"/>
      <c r="J27" s="214" t="s">
        <v>106</v>
      </c>
      <c r="K27" s="218">
        <f>Energy!J11</f>
        <v>334.83961767713572</v>
      </c>
      <c r="L27" s="215"/>
      <c r="M27" s="220" t="s">
        <v>153</v>
      </c>
      <c r="N27" s="221">
        <f>Energy!I11</f>
        <v>110.0337152195701</v>
      </c>
      <c r="O27" s="215"/>
      <c r="P27" s="219" t="s">
        <v>125</v>
      </c>
      <c r="Q27" s="218">
        <f>'Summary - Cash'!F21*'Summary - Cash'!B21</f>
        <v>675.83579911668005</v>
      </c>
      <c r="R27" s="215"/>
      <c r="S27" s="219" t="s">
        <v>126</v>
      </c>
      <c r="T27" s="222">
        <f>'Summary - Cash'!G21*'Summary - Cash'!B21</f>
        <v>405.50147947000801</v>
      </c>
      <c r="U27" s="215"/>
      <c r="V27" s="75"/>
      <c r="W27" s="76"/>
      <c r="X27" s="129"/>
    </row>
    <row r="28" spans="1:24">
      <c r="A28" s="74"/>
      <c r="B28" s="75"/>
      <c r="C28" s="75"/>
      <c r="D28" s="75"/>
      <c r="F28" s="75"/>
      <c r="G28" s="75"/>
      <c r="H28" s="204"/>
      <c r="I28" s="75"/>
      <c r="J28" s="75"/>
      <c r="L28" s="75"/>
      <c r="M28" s="75"/>
      <c r="N28" s="204"/>
      <c r="O28" s="75"/>
      <c r="P28" s="75"/>
      <c r="Q28" s="204"/>
      <c r="R28" s="75"/>
      <c r="S28" s="75"/>
      <c r="T28" s="204"/>
      <c r="U28" s="75"/>
      <c r="V28" s="75"/>
      <c r="W28" s="76"/>
      <c r="X28" s="129"/>
    </row>
    <row r="29" spans="1:24">
      <c r="A29" s="74"/>
      <c r="B29" s="75"/>
      <c r="C29" s="75"/>
      <c r="D29" s="223" t="s">
        <v>107</v>
      </c>
      <c r="E29" s="218">
        <f>'Summary - Cash'!H14</f>
        <v>125</v>
      </c>
      <c r="F29" s="215" t="s">
        <v>119</v>
      </c>
      <c r="G29" s="336" t="s">
        <v>382</v>
      </c>
      <c r="H29" s="97"/>
      <c r="I29" s="85" t="s">
        <v>152</v>
      </c>
      <c r="J29" s="219" t="s">
        <v>108</v>
      </c>
      <c r="K29" s="218">
        <f>'Summary - Cash'!C10</f>
        <v>25</v>
      </c>
      <c r="L29" s="215" t="s">
        <v>119</v>
      </c>
      <c r="M29" s="86" t="s">
        <v>120</v>
      </c>
      <c r="N29" s="231">
        <v>0</v>
      </c>
      <c r="O29" s="88" t="s">
        <v>109</v>
      </c>
      <c r="P29" s="89" t="s">
        <v>118</v>
      </c>
      <c r="Q29" s="87"/>
      <c r="R29" s="75" t="s">
        <v>119</v>
      </c>
      <c r="S29" s="75"/>
      <c r="T29" s="75"/>
      <c r="U29" s="75"/>
      <c r="V29" s="75"/>
      <c r="W29" s="76"/>
      <c r="X29" s="129"/>
    </row>
    <row r="30" spans="1:24">
      <c r="A30" s="74"/>
      <c r="B30" s="75"/>
      <c r="C30" s="75"/>
      <c r="D30" s="75"/>
      <c r="E30" s="204"/>
      <c r="F30" s="75"/>
      <c r="G30" s="75"/>
      <c r="H30" s="75"/>
      <c r="I30" s="75"/>
      <c r="J30" s="75"/>
      <c r="K30" s="204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  <c r="X30" s="129"/>
    </row>
    <row r="31" spans="1:24">
      <c r="A31" s="94"/>
      <c r="B31" s="98" t="s">
        <v>121</v>
      </c>
      <c r="C31" s="95"/>
      <c r="D31" s="95"/>
      <c r="E31" s="95" t="s">
        <v>122</v>
      </c>
      <c r="F31" s="95"/>
      <c r="G31" s="95"/>
      <c r="H31" s="99" t="e">
        <f>IRR($C23:$W23)</f>
        <v>#DIV/0!</v>
      </c>
      <c r="I31" s="100"/>
      <c r="J31" s="100" t="s">
        <v>102</v>
      </c>
      <c r="K31" s="101">
        <f>$W25</f>
        <v>-1874.5144021303383</v>
      </c>
      <c r="L31" s="100"/>
      <c r="M31" s="100"/>
      <c r="N31" s="100"/>
      <c r="O31" s="100"/>
      <c r="P31" s="102" t="s">
        <v>123</v>
      </c>
      <c r="Q31" s="103">
        <f>MATCH(1,D25:W25)</f>
        <v>20</v>
      </c>
      <c r="R31" s="95"/>
      <c r="S31" s="95"/>
      <c r="T31" s="95"/>
      <c r="U31" s="95"/>
      <c r="V31" s="95"/>
      <c r="W31" s="96"/>
      <c r="X31" s="131"/>
    </row>
    <row r="33" spans="1:13">
      <c r="B33" s="2" t="s">
        <v>113</v>
      </c>
      <c r="D33" s="3"/>
      <c r="E33" s="3"/>
      <c r="F33" s="3"/>
      <c r="G33" s="3"/>
      <c r="H33" s="3"/>
    </row>
    <row r="34" spans="1:13">
      <c r="A34">
        <v>1</v>
      </c>
      <c r="B34" t="s">
        <v>369</v>
      </c>
      <c r="D34" s="4"/>
    </row>
    <row r="35" spans="1:13">
      <c r="A35">
        <v>2</v>
      </c>
      <c r="B35" t="s">
        <v>131</v>
      </c>
      <c r="L35" s="224"/>
      <c r="M35" s="138" t="s">
        <v>307</v>
      </c>
    </row>
    <row r="36" spans="1:13">
      <c r="A36">
        <v>3</v>
      </c>
      <c r="B36" s="138" t="s">
        <v>383</v>
      </c>
      <c r="L36" s="227"/>
      <c r="M36" s="138" t="s">
        <v>308</v>
      </c>
    </row>
    <row r="37" spans="1:13">
      <c r="A37">
        <v>4</v>
      </c>
      <c r="B37" s="138" t="s">
        <v>393</v>
      </c>
    </row>
    <row r="38" spans="1:13">
      <c r="A38">
        <v>5</v>
      </c>
      <c r="B38" s="138" t="s">
        <v>425</v>
      </c>
    </row>
    <row r="41" spans="1:13">
      <c r="B41" s="6"/>
    </row>
  </sheetData>
  <sheetProtection selectLockedCells="1"/>
  <printOptions horizontalCentered="1"/>
  <pageMargins left="1" right="1" top="2.25" bottom="1" header="0.5" footer="0.5"/>
  <pageSetup paperSize="3" scale="80" orientation="landscape" r:id="rId1"/>
  <headerFooter alignWithMargins="0">
    <oddHeader>&amp;L&amp;"Arial,Bold Italic"&amp;11Privileged and Confidential&amp;C&amp;"Arial,Bold Italic"&amp;11Ten Mile River Feasibility Study
Phase 1
&amp;R&amp;"Arial,Bold Italic"&amp;11&amp;A</oddHeader>
    <oddFooter>&amp;L&amp;G&amp;C&amp;"Arial,Bold Italic"For Planning Purposes Only&amp;R&amp;"Arial,Bold Italic"&amp;F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6"/>
  </sheetPr>
  <dimension ref="A1:AD41"/>
  <sheetViews>
    <sheetView view="pageBreakPreview" zoomScale="75" zoomScaleNormal="75" zoomScaleSheetLayoutView="75" workbookViewId="0">
      <selection activeCell="H11" sqref="H11"/>
    </sheetView>
  </sheetViews>
  <sheetFormatPr defaultRowHeight="12.75"/>
  <cols>
    <col min="1" max="1" width="4.5703125" customWidth="1"/>
    <col min="2" max="2" width="30.85546875" customWidth="1"/>
    <col min="3" max="3" width="9.28515625" bestFit="1" customWidth="1"/>
    <col min="4" max="4" width="9.42578125" bestFit="1" customWidth="1"/>
    <col min="5" max="7" width="9.28515625" bestFit="1" customWidth="1"/>
    <col min="8" max="8" width="9.85546875" bestFit="1" customWidth="1"/>
    <col min="9" max="9" width="9.28515625" bestFit="1" customWidth="1"/>
    <col min="10" max="10" width="12.28515625" customWidth="1"/>
    <col min="11" max="11" width="12.42578125" customWidth="1"/>
    <col min="12" max="21" width="9.28515625" bestFit="1" customWidth="1"/>
    <col min="22" max="22" width="10.140625" bestFit="1" customWidth="1"/>
    <col min="23" max="23" width="9.28515625" bestFit="1" customWidth="1"/>
    <col min="24" max="24" width="25.28515625" style="112" customWidth="1"/>
  </cols>
  <sheetData>
    <row r="1" spans="1:30" ht="26.25" thickBot="1">
      <c r="A1" s="228" t="s">
        <v>0</v>
      </c>
      <c r="B1" s="229" t="s">
        <v>92</v>
      </c>
      <c r="C1" s="229">
        <v>0</v>
      </c>
      <c r="D1" s="229">
        <v>1</v>
      </c>
      <c r="E1" s="229">
        <v>2</v>
      </c>
      <c r="F1" s="229">
        <v>3</v>
      </c>
      <c r="G1" s="229">
        <v>4</v>
      </c>
      <c r="H1" s="229">
        <v>5</v>
      </c>
      <c r="I1" s="229">
        <v>6</v>
      </c>
      <c r="J1" s="229">
        <v>7</v>
      </c>
      <c r="K1" s="229">
        <v>8</v>
      </c>
      <c r="L1" s="229">
        <v>9</v>
      </c>
      <c r="M1" s="229">
        <v>10</v>
      </c>
      <c r="N1" s="229">
        <v>11</v>
      </c>
      <c r="O1" s="229">
        <v>12</v>
      </c>
      <c r="P1" s="229">
        <v>13</v>
      </c>
      <c r="Q1" s="229">
        <v>14</v>
      </c>
      <c r="R1" s="229">
        <v>15</v>
      </c>
      <c r="S1" s="229">
        <v>16</v>
      </c>
      <c r="T1" s="229">
        <v>17</v>
      </c>
      <c r="U1" s="229">
        <v>18</v>
      </c>
      <c r="V1" s="229">
        <v>19</v>
      </c>
      <c r="W1" s="230">
        <v>20</v>
      </c>
      <c r="X1" s="120" t="s">
        <v>199</v>
      </c>
      <c r="AA1" s="1"/>
      <c r="AB1" s="1"/>
      <c r="AC1" s="1"/>
      <c r="AD1" s="1"/>
    </row>
    <row r="2" spans="1:30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6"/>
      <c r="X2" s="129"/>
    </row>
    <row r="3" spans="1:30">
      <c r="A3" s="77">
        <v>1</v>
      </c>
      <c r="B3" s="78" t="s">
        <v>110</v>
      </c>
      <c r="C3" s="216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129"/>
    </row>
    <row r="4" spans="1:30">
      <c r="A4" s="79" t="s">
        <v>8</v>
      </c>
      <c r="B4" s="225" t="s">
        <v>93</v>
      </c>
      <c r="C4" s="227">
        <f>'Costs F'!F137</f>
        <v>3276.9126763089184</v>
      </c>
      <c r="D4" s="226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130"/>
    </row>
    <row r="5" spans="1:30" ht="14.25" customHeight="1">
      <c r="A5" s="79" t="s">
        <v>11</v>
      </c>
      <c r="B5" s="80" t="s">
        <v>94</v>
      </c>
      <c r="C5" s="197"/>
      <c r="D5" s="81">
        <f t="shared" ref="D5:W5" si="0">mwh*(0.015)*(1+esc)^(D$1-$C$1)</f>
        <v>5.7464697128911952</v>
      </c>
      <c r="E5" s="81">
        <f t="shared" si="0"/>
        <v>5.8901314557134752</v>
      </c>
      <c r="F5" s="81">
        <f t="shared" si="0"/>
        <v>6.0373847421063118</v>
      </c>
      <c r="G5" s="81">
        <f t="shared" si="0"/>
        <v>6.1883193606589693</v>
      </c>
      <c r="H5" s="81">
        <f t="shared" si="0"/>
        <v>6.343027344675443</v>
      </c>
      <c r="I5" s="81">
        <f t="shared" si="0"/>
        <v>6.5016030282923278</v>
      </c>
      <c r="J5" s="81">
        <f t="shared" si="0"/>
        <v>6.6641431039996366</v>
      </c>
      <c r="K5" s="81">
        <f t="shared" si="0"/>
        <v>6.8307466815996269</v>
      </c>
      <c r="L5" s="81">
        <f t="shared" si="0"/>
        <v>7.0015153486396162</v>
      </c>
      <c r="M5" s="81">
        <f t="shared" si="0"/>
        <v>7.1765532323556069</v>
      </c>
      <c r="N5" s="81">
        <f t="shared" si="0"/>
        <v>7.3559670631644973</v>
      </c>
      <c r="O5" s="81">
        <f t="shared" si="0"/>
        <v>7.5398662397436089</v>
      </c>
      <c r="P5" s="81">
        <f t="shared" si="0"/>
        <v>7.7283628957371988</v>
      </c>
      <c r="Q5" s="81">
        <f t="shared" si="0"/>
        <v>7.9215719681306282</v>
      </c>
      <c r="R5" s="81">
        <f t="shared" si="0"/>
        <v>8.1196112673338945</v>
      </c>
      <c r="S5" s="81">
        <f t="shared" si="0"/>
        <v>8.3226015490172411</v>
      </c>
      <c r="T5" s="81">
        <f t="shared" si="0"/>
        <v>8.5306665877426706</v>
      </c>
      <c r="U5" s="81">
        <f t="shared" si="0"/>
        <v>8.7439332524362392</v>
      </c>
      <c r="V5" s="81">
        <f t="shared" si="0"/>
        <v>8.9625315837471451</v>
      </c>
      <c r="W5" s="81">
        <f t="shared" si="0"/>
        <v>9.1865948733408214</v>
      </c>
      <c r="X5" s="130"/>
    </row>
    <row r="6" spans="1:30">
      <c r="A6" s="79" t="s">
        <v>13</v>
      </c>
      <c r="B6" s="80" t="s">
        <v>95</v>
      </c>
      <c r="C6" s="81"/>
      <c r="D6" s="81"/>
      <c r="E6" s="81"/>
      <c r="F6" s="81"/>
      <c r="G6" s="81"/>
      <c r="H6" s="81">
        <f>50*(1+esc)^(H1-$C1)</f>
        <v>56.570410644531236</v>
      </c>
      <c r="I6" s="81"/>
      <c r="J6" s="81"/>
      <c r="K6" s="81"/>
      <c r="L6" s="81"/>
      <c r="M6" s="81">
        <f>100*(1+esc)^(M1-$C1)</f>
        <v>128.00845441963571</v>
      </c>
      <c r="N6" s="81"/>
      <c r="O6" s="81"/>
      <c r="P6" s="81"/>
      <c r="Q6" s="81"/>
      <c r="R6" s="81">
        <f>50*(1+esc)^(R1-$C1)</f>
        <v>72.414908324905525</v>
      </c>
      <c r="S6" s="81"/>
      <c r="T6" s="81"/>
      <c r="U6" s="81"/>
      <c r="V6" s="81"/>
      <c r="W6" s="82">
        <f>100*(1+esc)^(W1-$C1)</f>
        <v>163.86164402903955</v>
      </c>
      <c r="X6" s="130"/>
    </row>
    <row r="7" spans="1:30">
      <c r="A7" s="79" t="s">
        <v>16</v>
      </c>
      <c r="B7" s="332" t="s">
        <v>368</v>
      </c>
      <c r="C7" s="81"/>
      <c r="D7" s="81">
        <f t="shared" ref="D7:W7" si="1">(0.0025*$C$4*(1+esc)^(D$1-$C$1))</f>
        <v>8.3970887330416026</v>
      </c>
      <c r="E7" s="81">
        <f t="shared" si="1"/>
        <v>8.607015951367643</v>
      </c>
      <c r="F7" s="81">
        <f t="shared" si="1"/>
        <v>8.822191350151833</v>
      </c>
      <c r="G7" s="81">
        <f t="shared" si="1"/>
        <v>9.042746133905629</v>
      </c>
      <c r="H7" s="81">
        <f t="shared" si="1"/>
        <v>9.2688147872532678</v>
      </c>
      <c r="I7" s="81">
        <f t="shared" si="1"/>
        <v>9.5005351569345997</v>
      </c>
      <c r="J7" s="81">
        <f t="shared" si="1"/>
        <v>9.7380485358579651</v>
      </c>
      <c r="K7" s="81">
        <f t="shared" si="1"/>
        <v>9.9814997492544126</v>
      </c>
      <c r="L7" s="81">
        <f t="shared" si="1"/>
        <v>10.231037242985771</v>
      </c>
      <c r="M7" s="81">
        <f t="shared" si="1"/>
        <v>10.486813174060416</v>
      </c>
      <c r="N7" s="81">
        <f t="shared" si="1"/>
        <v>10.748983503411926</v>
      </c>
      <c r="O7" s="81">
        <f t="shared" si="1"/>
        <v>11.017708090997223</v>
      </c>
      <c r="P7" s="81">
        <f t="shared" si="1"/>
        <v>11.293150793272153</v>
      </c>
      <c r="Q7" s="81">
        <f t="shared" si="1"/>
        <v>11.575479563103956</v>
      </c>
      <c r="R7" s="81">
        <f t="shared" si="1"/>
        <v>11.864866552181557</v>
      </c>
      <c r="S7" s="81">
        <f t="shared" si="1"/>
        <v>12.161488215986095</v>
      </c>
      <c r="T7" s="81">
        <f t="shared" si="1"/>
        <v>12.465525421385745</v>
      </c>
      <c r="U7" s="81">
        <f t="shared" si="1"/>
        <v>12.777163556920389</v>
      </c>
      <c r="V7" s="81">
        <f t="shared" si="1"/>
        <v>13.096592645843399</v>
      </c>
      <c r="W7" s="81">
        <f t="shared" si="1"/>
        <v>13.424007461989483</v>
      </c>
      <c r="X7" s="130"/>
    </row>
    <row r="8" spans="1:30">
      <c r="A8" s="79" t="s">
        <v>19</v>
      </c>
      <c r="B8" s="332" t="s">
        <v>381</v>
      </c>
      <c r="C8" s="81"/>
      <c r="D8" s="81">
        <f t="shared" ref="D8:W8" si="2">(0.015*$C$4*(1+esc)^(D$1-$C$1))</f>
        <v>50.382532398249616</v>
      </c>
      <c r="E8" s="81">
        <f t="shared" si="2"/>
        <v>51.642095708205858</v>
      </c>
      <c r="F8" s="81">
        <f t="shared" si="2"/>
        <v>52.933148100911005</v>
      </c>
      <c r="G8" s="81">
        <f t="shared" si="2"/>
        <v>54.25647680343377</v>
      </c>
      <c r="H8" s="81">
        <f t="shared" si="2"/>
        <v>55.61288872351961</v>
      </c>
      <c r="I8" s="81">
        <f t="shared" si="2"/>
        <v>57.003210941607598</v>
      </c>
      <c r="J8" s="81">
        <f t="shared" si="2"/>
        <v>58.428291215147794</v>
      </c>
      <c r="K8" s="81">
        <f t="shared" si="2"/>
        <v>59.888998495526479</v>
      </c>
      <c r="L8" s="81">
        <f t="shared" si="2"/>
        <v>61.386223457914632</v>
      </c>
      <c r="M8" s="81">
        <f t="shared" si="2"/>
        <v>62.920879044362501</v>
      </c>
      <c r="N8" s="81">
        <f t="shared" si="2"/>
        <v>64.493901020471554</v>
      </c>
      <c r="O8" s="81">
        <f t="shared" si="2"/>
        <v>66.106248545983348</v>
      </c>
      <c r="P8" s="81">
        <f t="shared" si="2"/>
        <v>67.758904759632927</v>
      </c>
      <c r="Q8" s="81">
        <f t="shared" si="2"/>
        <v>69.452877378623739</v>
      </c>
      <c r="R8" s="81">
        <f t="shared" si="2"/>
        <v>71.189199313089347</v>
      </c>
      <c r="S8" s="81">
        <f t="shared" si="2"/>
        <v>72.968929295916567</v>
      </c>
      <c r="T8" s="81">
        <f t="shared" si="2"/>
        <v>74.793152528314479</v>
      </c>
      <c r="U8" s="81">
        <f t="shared" si="2"/>
        <v>76.66298134152234</v>
      </c>
      <c r="V8" s="81">
        <f t="shared" si="2"/>
        <v>78.579555875060407</v>
      </c>
      <c r="W8" s="81">
        <f t="shared" si="2"/>
        <v>80.544044771936896</v>
      </c>
      <c r="X8" s="130"/>
    </row>
    <row r="9" spans="1:30">
      <c r="A9" s="199" t="s">
        <v>21</v>
      </c>
      <c r="B9" s="200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2"/>
      <c r="X9" s="130"/>
    </row>
    <row r="10" spans="1:30">
      <c r="A10" s="195" t="s">
        <v>35</v>
      </c>
      <c r="B10" s="196" t="s">
        <v>96</v>
      </c>
      <c r="C10" s="197">
        <f t="shared" ref="C10:W10" si="3">SUM(C4:C9)</f>
        <v>3276.9126763089184</v>
      </c>
      <c r="D10" s="197">
        <f t="shared" si="3"/>
        <v>64.52609084418242</v>
      </c>
      <c r="E10" s="197">
        <f t="shared" si="3"/>
        <v>66.139243115286973</v>
      </c>
      <c r="F10" s="197">
        <f t="shared" si="3"/>
        <v>67.79272419316915</v>
      </c>
      <c r="G10" s="197">
        <f t="shared" si="3"/>
        <v>69.487542297998374</v>
      </c>
      <c r="H10" s="197">
        <f t="shared" si="3"/>
        <v>127.79514149997956</v>
      </c>
      <c r="I10" s="197">
        <f t="shared" si="3"/>
        <v>73.005349126834517</v>
      </c>
      <c r="J10" s="197">
        <f t="shared" si="3"/>
        <v>74.8304828550054</v>
      </c>
      <c r="K10" s="197">
        <f t="shared" si="3"/>
        <v>76.701244926380525</v>
      </c>
      <c r="L10" s="197">
        <f t="shared" si="3"/>
        <v>78.618776049540017</v>
      </c>
      <c r="M10" s="197">
        <f>SUM(M4:M9)</f>
        <v>208.59269987041424</v>
      </c>
      <c r="N10" s="197">
        <f>SUM(N4:N9)</f>
        <v>82.598851587047974</v>
      </c>
      <c r="O10" s="197">
        <f t="shared" si="3"/>
        <v>84.663822876724183</v>
      </c>
      <c r="P10" s="197">
        <f t="shared" si="3"/>
        <v>86.78041844864228</v>
      </c>
      <c r="Q10" s="197">
        <f t="shared" si="3"/>
        <v>88.949928909858329</v>
      </c>
      <c r="R10" s="197">
        <f t="shared" si="3"/>
        <v>163.58858545751031</v>
      </c>
      <c r="S10" s="197">
        <f t="shared" si="3"/>
        <v>93.4530190609199</v>
      </c>
      <c r="T10" s="197">
        <f t="shared" si="3"/>
        <v>95.789344537442901</v>
      </c>
      <c r="U10" s="197">
        <f t="shared" si="3"/>
        <v>98.184078150878975</v>
      </c>
      <c r="V10" s="197">
        <f t="shared" si="3"/>
        <v>100.63868010465094</v>
      </c>
      <c r="W10" s="198">
        <f t="shared" si="3"/>
        <v>267.01629113630673</v>
      </c>
      <c r="X10" s="130"/>
    </row>
    <row r="11" spans="1:30">
      <c r="A11" s="74"/>
      <c r="B11" s="7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2"/>
      <c r="X11" s="130"/>
    </row>
    <row r="12" spans="1:30">
      <c r="A12" s="77">
        <v>2</v>
      </c>
      <c r="B12" s="78" t="s">
        <v>111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2"/>
      <c r="X12" s="130"/>
    </row>
    <row r="13" spans="1:30">
      <c r="A13" s="79" t="s">
        <v>8</v>
      </c>
      <c r="B13" s="80" t="s">
        <v>125</v>
      </c>
      <c r="C13" s="81">
        <f>$Q$27</f>
        <v>819.22816907722961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2"/>
      <c r="X13" s="130"/>
    </row>
    <row r="14" spans="1:30">
      <c r="A14" s="79" t="s">
        <v>11</v>
      </c>
      <c r="B14" s="80" t="s">
        <v>127</v>
      </c>
      <c r="C14" s="81">
        <f>T27</f>
        <v>491.53690144633777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  <c r="X14" s="130"/>
    </row>
    <row r="15" spans="1:30">
      <c r="A15" s="79" t="s">
        <v>13</v>
      </c>
      <c r="B15" s="80" t="s">
        <v>97</v>
      </c>
      <c r="C15" s="81"/>
      <c r="D15" s="81">
        <f t="shared" ref="D15:W15" si="4">0.001*mwh*$E$29*(1+esc)^(D$1-$C$1)</f>
        <v>47.88724760742663</v>
      </c>
      <c r="E15" s="81">
        <f t="shared" si="4"/>
        <v>49.084428797612297</v>
      </c>
      <c r="F15" s="81">
        <f t="shared" si="4"/>
        <v>50.311539517552603</v>
      </c>
      <c r="G15" s="81">
        <f t="shared" si="4"/>
        <v>51.569328005491414</v>
      </c>
      <c r="H15" s="81">
        <f t="shared" si="4"/>
        <v>52.858561205628689</v>
      </c>
      <c r="I15" s="81">
        <f t="shared" si="4"/>
        <v>54.180025235769406</v>
      </c>
      <c r="J15" s="81">
        <f t="shared" si="4"/>
        <v>55.534525866663643</v>
      </c>
      <c r="K15" s="81">
        <f t="shared" si="4"/>
        <v>56.922889013330227</v>
      </c>
      <c r="L15" s="81">
        <f t="shared" si="4"/>
        <v>58.345961238663477</v>
      </c>
      <c r="M15" s="81">
        <f t="shared" si="4"/>
        <v>59.804610269630061</v>
      </c>
      <c r="N15" s="81">
        <f t="shared" si="4"/>
        <v>61.299725526370814</v>
      </c>
      <c r="O15" s="81">
        <f t="shared" si="4"/>
        <v>62.832218664530075</v>
      </c>
      <c r="P15" s="81">
        <f t="shared" si="4"/>
        <v>64.403024131143326</v>
      </c>
      <c r="Q15" s="81">
        <f t="shared" si="4"/>
        <v>66.0130997344219</v>
      </c>
      <c r="R15" s="81">
        <f t="shared" si="4"/>
        <v>67.663427227782464</v>
      </c>
      <c r="S15" s="81">
        <f t="shared" si="4"/>
        <v>69.355012908477022</v>
      </c>
      <c r="T15" s="81">
        <f t="shared" si="4"/>
        <v>71.088888231188932</v>
      </c>
      <c r="U15" s="81">
        <f t="shared" si="4"/>
        <v>72.866110436968654</v>
      </c>
      <c r="V15" s="81">
        <f t="shared" si="4"/>
        <v>74.687763197892878</v>
      </c>
      <c r="W15" s="81">
        <f t="shared" si="4"/>
        <v>76.554957277840188</v>
      </c>
      <c r="X15" s="105"/>
    </row>
    <row r="16" spans="1:30">
      <c r="A16" s="79" t="s">
        <v>16</v>
      </c>
      <c r="B16" s="80" t="s">
        <v>98</v>
      </c>
      <c r="C16" s="81"/>
      <c r="D16" s="81">
        <f>0.001*mwh*rec*(1+esc)^(D$1-$C$1)</f>
        <v>9.5774495214853257</v>
      </c>
      <c r="E16" s="81">
        <f t="shared" ref="E16:W16" si="5">0.001*mwh*rec*(1+esc)^(E$1-$C$1)</f>
        <v>9.8168857595224601</v>
      </c>
      <c r="F16" s="81">
        <f t="shared" si="5"/>
        <v>10.06230790351052</v>
      </c>
      <c r="G16" s="81">
        <f t="shared" si="5"/>
        <v>10.313865601098282</v>
      </c>
      <c r="H16" s="81">
        <f t="shared" si="5"/>
        <v>10.57171224112574</v>
      </c>
      <c r="I16" s="81">
        <f t="shared" si="5"/>
        <v>10.836005047153881</v>
      </c>
      <c r="J16" s="81">
        <f t="shared" si="5"/>
        <v>11.106905173332729</v>
      </c>
      <c r="K16" s="81">
        <f t="shared" si="5"/>
        <v>11.384577802666046</v>
      </c>
      <c r="L16" s="81">
        <f t="shared" si="5"/>
        <v>11.669192247732695</v>
      </c>
      <c r="M16" s="81">
        <f t="shared" si="5"/>
        <v>11.960922053926012</v>
      </c>
      <c r="N16" s="81">
        <f t="shared" si="5"/>
        <v>12.259945105274163</v>
      </c>
      <c r="O16" s="81">
        <f t="shared" si="5"/>
        <v>12.566443732906016</v>
      </c>
      <c r="P16" s="81">
        <f t="shared" si="5"/>
        <v>12.880604826228666</v>
      </c>
      <c r="Q16" s="81">
        <f t="shared" si="5"/>
        <v>13.202619946884381</v>
      </c>
      <c r="R16" s="81">
        <f t="shared" si="5"/>
        <v>13.532685445556492</v>
      </c>
      <c r="S16" s="81">
        <f t="shared" si="5"/>
        <v>13.871002581695404</v>
      </c>
      <c r="T16" s="81">
        <f t="shared" si="5"/>
        <v>14.217777646237787</v>
      </c>
      <c r="U16" s="81">
        <f t="shared" si="5"/>
        <v>14.573222087393733</v>
      </c>
      <c r="V16" s="81">
        <f t="shared" si="5"/>
        <v>14.937552639578575</v>
      </c>
      <c r="W16" s="82">
        <f t="shared" si="5"/>
        <v>15.310991455568038</v>
      </c>
      <c r="X16" s="130"/>
    </row>
    <row r="17" spans="1:24">
      <c r="A17" s="79" t="s">
        <v>19</v>
      </c>
      <c r="B17" s="80" t="s">
        <v>117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2"/>
      <c r="X17" s="130"/>
    </row>
    <row r="18" spans="1:24">
      <c r="A18" s="79" t="s">
        <v>21</v>
      </c>
      <c r="B18" s="80" t="s">
        <v>150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2"/>
      <c r="X18" s="130"/>
    </row>
    <row r="19" spans="1:24">
      <c r="A19" s="199" t="s">
        <v>35</v>
      </c>
      <c r="B19" s="356" t="s">
        <v>426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202">
        <f>IF($V$23&lt;=0,0,(1+esc)*$V$23/(dis-esc))</f>
        <v>0</v>
      </c>
      <c r="X19" s="130"/>
    </row>
    <row r="20" spans="1:24">
      <c r="A20" s="195" t="s">
        <v>36</v>
      </c>
      <c r="B20" s="196" t="s">
        <v>99</v>
      </c>
      <c r="C20" s="197">
        <f t="shared" ref="C20:V20" si="6">SUM(C13:C18)</f>
        <v>1310.7650705235674</v>
      </c>
      <c r="D20" s="197">
        <f>SUM(D13:D18)</f>
        <v>57.464697128911958</v>
      </c>
      <c r="E20" s="197">
        <f t="shared" si="6"/>
        <v>58.901314557134754</v>
      </c>
      <c r="F20" s="197">
        <f t="shared" si="6"/>
        <v>60.373847421063125</v>
      </c>
      <c r="G20" s="197">
        <f t="shared" si="6"/>
        <v>61.8831936065897</v>
      </c>
      <c r="H20" s="197">
        <f t="shared" si="6"/>
        <v>63.430273446754427</v>
      </c>
      <c r="I20" s="197">
        <f t="shared" si="6"/>
        <v>65.016030282923282</v>
      </c>
      <c r="J20" s="197">
        <f t="shared" si="6"/>
        <v>66.641431039996377</v>
      </c>
      <c r="K20" s="197">
        <f t="shared" si="6"/>
        <v>68.307466815996278</v>
      </c>
      <c r="L20" s="197">
        <f t="shared" si="6"/>
        <v>70.015153486396173</v>
      </c>
      <c r="M20" s="197">
        <f t="shared" si="6"/>
        <v>71.765532323556073</v>
      </c>
      <c r="N20" s="197">
        <f t="shared" si="6"/>
        <v>73.559670631644977</v>
      </c>
      <c r="O20" s="197">
        <f t="shared" si="6"/>
        <v>75.398662397436084</v>
      </c>
      <c r="P20" s="197">
        <f t="shared" si="6"/>
        <v>77.283628957371988</v>
      </c>
      <c r="Q20" s="197">
        <f t="shared" si="6"/>
        <v>79.215719681306282</v>
      </c>
      <c r="R20" s="197">
        <f t="shared" si="6"/>
        <v>81.196112673338959</v>
      </c>
      <c r="S20" s="197">
        <f t="shared" si="6"/>
        <v>83.226015490172429</v>
      </c>
      <c r="T20" s="197">
        <f t="shared" si="6"/>
        <v>85.306665877426724</v>
      </c>
      <c r="U20" s="197">
        <f t="shared" si="6"/>
        <v>87.439332524362385</v>
      </c>
      <c r="V20" s="197">
        <f t="shared" si="6"/>
        <v>89.625315837471447</v>
      </c>
      <c r="W20" s="198">
        <f>SUM(W13:W19)</f>
        <v>91.865948733408231</v>
      </c>
      <c r="X20" s="130"/>
    </row>
    <row r="21" spans="1:2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  <c r="X21" s="344">
        <f>0.5*C4*(1+esc)^20</f>
        <v>2684.8014923978967</v>
      </c>
    </row>
    <row r="22" spans="1:24">
      <c r="A22" s="77">
        <v>3</v>
      </c>
      <c r="B22" s="78" t="s">
        <v>112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6"/>
      <c r="X22" s="344">
        <f>(1+esc)*V23/(dis-esc)</f>
        <v>-451.54793495435928</v>
      </c>
    </row>
    <row r="23" spans="1:24">
      <c r="A23" s="79" t="s">
        <v>8</v>
      </c>
      <c r="B23" s="80" t="s">
        <v>100</v>
      </c>
      <c r="C23" s="81">
        <f t="shared" ref="C23:W23" si="7">C20-C10</f>
        <v>-1966.1476057853511</v>
      </c>
      <c r="D23" s="81">
        <f t="shared" si="7"/>
        <v>-7.0613937152704622</v>
      </c>
      <c r="E23" s="81">
        <f t="shared" si="7"/>
        <v>-7.2379285581522197</v>
      </c>
      <c r="F23" s="81">
        <f t="shared" si="7"/>
        <v>-7.4188767721060245</v>
      </c>
      <c r="G23" s="81">
        <f t="shared" si="7"/>
        <v>-7.6043486914086742</v>
      </c>
      <c r="H23" s="81">
        <f t="shared" si="7"/>
        <v>-64.364868053225138</v>
      </c>
      <c r="I23" s="81">
        <f t="shared" si="7"/>
        <v>-7.989318843911235</v>
      </c>
      <c r="J23" s="81">
        <f t="shared" si="7"/>
        <v>-8.189051815009023</v>
      </c>
      <c r="K23" s="81">
        <f t="shared" si="7"/>
        <v>-8.3937781103842468</v>
      </c>
      <c r="L23" s="81">
        <f t="shared" si="7"/>
        <v>-8.6036225631438441</v>
      </c>
      <c r="M23" s="81">
        <f>M20-M10</f>
        <v>-136.82716754685816</v>
      </c>
      <c r="N23" s="81">
        <f t="shared" si="7"/>
        <v>-9.0391809554029976</v>
      </c>
      <c r="O23" s="81">
        <f t="shared" si="7"/>
        <v>-9.2651604792880988</v>
      </c>
      <c r="P23" s="81">
        <f t="shared" si="7"/>
        <v>-9.4967894912702917</v>
      </c>
      <c r="Q23" s="81">
        <f t="shared" si="7"/>
        <v>-9.7342092285520465</v>
      </c>
      <c r="R23" s="81">
        <f t="shared" si="7"/>
        <v>-82.392472784171346</v>
      </c>
      <c r="S23" s="81">
        <f t="shared" si="7"/>
        <v>-10.22700357074747</v>
      </c>
      <c r="T23" s="81">
        <f t="shared" si="7"/>
        <v>-10.482678660016177</v>
      </c>
      <c r="U23" s="81">
        <f t="shared" si="7"/>
        <v>-10.74474562651659</v>
      </c>
      <c r="V23" s="81">
        <f t="shared" si="7"/>
        <v>-11.013364267179497</v>
      </c>
      <c r="W23" s="82">
        <f t="shared" si="7"/>
        <v>-175.1503424028985</v>
      </c>
      <c r="X23" s="130"/>
    </row>
    <row r="24" spans="1:24">
      <c r="A24" s="79" t="s">
        <v>11</v>
      </c>
      <c r="B24" s="80" t="s">
        <v>101</v>
      </c>
      <c r="C24" s="81">
        <f>C23</f>
        <v>-1966.1476057853511</v>
      </c>
      <c r="D24" s="81">
        <f>D23/(1+dis)^(D$1-$C$1)</f>
        <v>-6.7251368716861544</v>
      </c>
      <c r="E24" s="81">
        <f t="shared" ref="E24:W24" si="8">E23/(1+dis)^(E$1-$C$1)</f>
        <v>-6.5650145652174325</v>
      </c>
      <c r="F24" s="81">
        <f t="shared" si="8"/>
        <v>-6.4087046946170165</v>
      </c>
      <c r="G24" s="81">
        <f t="shared" si="8"/>
        <v>-6.2561164876023252</v>
      </c>
      <c r="H24" s="81">
        <f t="shared" si="8"/>
        <v>-50.431558320991677</v>
      </c>
      <c r="I24" s="81">
        <f t="shared" si="8"/>
        <v>-5.9617527299657063</v>
      </c>
      <c r="J24" s="81">
        <f t="shared" si="8"/>
        <v>-5.819806236395098</v>
      </c>
      <c r="K24" s="81">
        <f t="shared" si="8"/>
        <v>-5.6812394212428332</v>
      </c>
      <c r="L24" s="81">
        <f t="shared" si="8"/>
        <v>-5.5459718159751406</v>
      </c>
      <c r="M24" s="81">
        <f t="shared" si="8"/>
        <v>-84.000011601458297</v>
      </c>
      <c r="N24" s="81">
        <f t="shared" si="8"/>
        <v>-5.2850218949286889</v>
      </c>
      <c r="O24" s="81">
        <f t="shared" si="8"/>
        <v>-5.1591880402875452</v>
      </c>
      <c r="P24" s="81">
        <f t="shared" si="8"/>
        <v>-5.0363502298045022</v>
      </c>
      <c r="Q24" s="81">
        <f t="shared" si="8"/>
        <v>-4.916437129094871</v>
      </c>
      <c r="R24" s="81">
        <f t="shared" si="8"/>
        <v>-39.63218816318134</v>
      </c>
      <c r="S24" s="81">
        <f t="shared" si="8"/>
        <v>-4.6851081712066085</v>
      </c>
      <c r="T24" s="81">
        <f t="shared" si="8"/>
        <v>-4.5735579766540777</v>
      </c>
      <c r="U24" s="81">
        <f t="shared" si="8"/>
        <v>-4.464663739114699</v>
      </c>
      <c r="V24" s="81">
        <f t="shared" si="8"/>
        <v>-4.3583622215167273</v>
      </c>
      <c r="W24" s="82">
        <f t="shared" si="8"/>
        <v>-66.0123219732574</v>
      </c>
      <c r="X24" s="130"/>
    </row>
    <row r="25" spans="1:24">
      <c r="A25" s="199" t="s">
        <v>13</v>
      </c>
      <c r="B25" s="200" t="s">
        <v>102</v>
      </c>
      <c r="C25" s="201">
        <f>C23</f>
        <v>-1966.1476057853511</v>
      </c>
      <c r="D25" s="201">
        <f>SUM($C24:D24)</f>
        <v>-1972.8727426570372</v>
      </c>
      <c r="E25" s="201">
        <f>SUM($C24:E24)</f>
        <v>-1979.4377572222545</v>
      </c>
      <c r="F25" s="201">
        <f>SUM($C24:F24)</f>
        <v>-1985.8464619168715</v>
      </c>
      <c r="G25" s="201">
        <f>SUM($C24:G24)</f>
        <v>-1992.1025784044739</v>
      </c>
      <c r="H25" s="201">
        <f>SUM($C24:H24)</f>
        <v>-2042.5341367254655</v>
      </c>
      <c r="I25" s="201">
        <f>SUM($C24:I24)</f>
        <v>-2048.4958894554311</v>
      </c>
      <c r="J25" s="201">
        <f>SUM($C24:J24)</f>
        <v>-2054.315695691826</v>
      </c>
      <c r="K25" s="201">
        <f>SUM($C24:K24)</f>
        <v>-2059.996935113069</v>
      </c>
      <c r="L25" s="201">
        <f>SUM($C24:L24)</f>
        <v>-2065.542906929044</v>
      </c>
      <c r="M25" s="201">
        <f>SUM($C24:M24)</f>
        <v>-2149.5429185305024</v>
      </c>
      <c r="N25" s="201">
        <f>SUM($C24:N24)</f>
        <v>-2154.8279404254313</v>
      </c>
      <c r="O25" s="201">
        <f>SUM($C24:O24)</f>
        <v>-2159.9871284657188</v>
      </c>
      <c r="P25" s="201">
        <f>SUM($C24:P24)</f>
        <v>-2165.0234786955234</v>
      </c>
      <c r="Q25" s="201">
        <f>SUM($C24:Q24)</f>
        <v>-2169.9399158246183</v>
      </c>
      <c r="R25" s="201">
        <f>SUM($C24:R24)</f>
        <v>-2209.5721039877994</v>
      </c>
      <c r="S25" s="201">
        <f>SUM($C24:S24)</f>
        <v>-2214.257212159006</v>
      </c>
      <c r="T25" s="201">
        <f>SUM($C24:T24)</f>
        <v>-2218.8307701356603</v>
      </c>
      <c r="U25" s="201">
        <f>SUM($C24:U24)</f>
        <v>-2223.295433874775</v>
      </c>
      <c r="V25" s="201">
        <f>SUM($C24:V24)</f>
        <v>-2227.6537960962919</v>
      </c>
      <c r="W25" s="202">
        <f>SUM($C24:W24)</f>
        <v>-2293.6661180695492</v>
      </c>
      <c r="X25" s="130"/>
    </row>
    <row r="26" spans="1:24">
      <c r="A26" s="203"/>
      <c r="B26" s="204"/>
      <c r="C26" s="204"/>
      <c r="D26" s="205"/>
      <c r="F26" s="204"/>
      <c r="G26" s="204"/>
      <c r="I26" s="204"/>
      <c r="J26" s="204"/>
      <c r="K26" s="217"/>
      <c r="L26" s="204"/>
      <c r="M26" s="204"/>
      <c r="N26" s="217"/>
      <c r="O26" s="204"/>
      <c r="P26" s="204"/>
      <c r="Q26" s="217"/>
      <c r="R26" s="204"/>
      <c r="S26" s="204"/>
      <c r="T26" s="217"/>
      <c r="U26" s="204"/>
      <c r="V26" s="204"/>
      <c r="W26" s="206"/>
      <c r="X26" s="129"/>
    </row>
    <row r="27" spans="1:24">
      <c r="A27" s="74"/>
      <c r="B27" s="84" t="s">
        <v>103</v>
      </c>
      <c r="C27" s="75"/>
      <c r="D27" s="214" t="s">
        <v>104</v>
      </c>
      <c r="E27" s="341">
        <f>'Summary - Cash'!C9</f>
        <v>2.5000000000000001E-2</v>
      </c>
      <c r="F27" s="340"/>
      <c r="G27" s="223" t="s">
        <v>105</v>
      </c>
      <c r="H27" s="341">
        <f>'Summary - Cash'!F9</f>
        <v>0.05</v>
      </c>
      <c r="I27" s="340"/>
      <c r="J27" s="214" t="s">
        <v>106</v>
      </c>
      <c r="K27" s="218">
        <f>Energy!J12</f>
        <v>373.75412766772007</v>
      </c>
      <c r="L27" s="215"/>
      <c r="M27" s="220" t="s">
        <v>153</v>
      </c>
      <c r="N27" s="221">
        <f>Energy!I12</f>
        <v>103.90917057378202</v>
      </c>
      <c r="O27" s="215"/>
      <c r="P27" s="219" t="s">
        <v>125</v>
      </c>
      <c r="Q27" s="218">
        <f>'Summary - Cash'!F22*'Proforma F'!C4</f>
        <v>819.22816907722961</v>
      </c>
      <c r="R27" s="215"/>
      <c r="S27" s="219" t="s">
        <v>126</v>
      </c>
      <c r="T27" s="222">
        <f>'Summary - Cash'!G22*C4</f>
        <v>491.53690144633777</v>
      </c>
      <c r="U27" s="215"/>
      <c r="V27" s="75"/>
      <c r="W27" s="76"/>
      <c r="X27" s="129"/>
    </row>
    <row r="28" spans="1:24">
      <c r="A28" s="74"/>
      <c r="B28" s="75"/>
      <c r="C28" s="75"/>
      <c r="D28" s="75"/>
      <c r="F28" s="75"/>
      <c r="G28" s="75"/>
      <c r="H28" s="204"/>
      <c r="I28" s="75"/>
      <c r="J28" s="75"/>
      <c r="L28" s="75"/>
      <c r="M28" s="75"/>
      <c r="N28" s="204"/>
      <c r="O28" s="75"/>
      <c r="P28" s="75"/>
      <c r="Q28" s="204"/>
      <c r="R28" s="75"/>
      <c r="S28" s="75"/>
      <c r="T28" s="204"/>
      <c r="U28" s="75"/>
      <c r="V28" s="75"/>
      <c r="W28" s="76"/>
      <c r="X28" s="129"/>
    </row>
    <row r="29" spans="1:24">
      <c r="A29" s="74"/>
      <c r="B29" s="75"/>
      <c r="C29" s="75"/>
      <c r="D29" s="223" t="s">
        <v>107</v>
      </c>
      <c r="E29" s="218">
        <f>'Summary - Cash'!H22</f>
        <v>125</v>
      </c>
      <c r="F29" s="215" t="s">
        <v>119</v>
      </c>
      <c r="G29" s="336" t="s">
        <v>382</v>
      </c>
      <c r="H29" s="97"/>
      <c r="I29" s="85" t="s">
        <v>152</v>
      </c>
      <c r="J29" s="219" t="s">
        <v>108</v>
      </c>
      <c r="K29" s="218">
        <f>'Summary - Cash'!C10</f>
        <v>25</v>
      </c>
      <c r="L29" s="215" t="s">
        <v>119</v>
      </c>
      <c r="M29" s="86" t="s">
        <v>120</v>
      </c>
      <c r="N29" s="231">
        <v>0</v>
      </c>
      <c r="O29" s="88" t="s">
        <v>109</v>
      </c>
      <c r="P29" s="89" t="s">
        <v>118</v>
      </c>
      <c r="Q29" s="87"/>
      <c r="R29" s="75" t="s">
        <v>119</v>
      </c>
      <c r="S29" s="75"/>
      <c r="T29" s="75"/>
      <c r="U29" s="75"/>
      <c r="V29" s="75"/>
      <c r="W29" s="76"/>
      <c r="X29" s="129"/>
    </row>
    <row r="30" spans="1:24">
      <c r="A30" s="74"/>
      <c r="B30" s="75"/>
      <c r="C30" s="75"/>
      <c r="D30" s="75"/>
      <c r="E30" s="204"/>
      <c r="F30" s="75"/>
      <c r="G30" s="75"/>
      <c r="H30" s="75"/>
      <c r="I30" s="75"/>
      <c r="J30" s="75"/>
      <c r="K30" s="204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  <c r="X30" s="129"/>
    </row>
    <row r="31" spans="1:24">
      <c r="A31" s="94"/>
      <c r="B31" s="98" t="s">
        <v>121</v>
      </c>
      <c r="C31" s="95"/>
      <c r="D31" s="95"/>
      <c r="E31" s="95" t="s">
        <v>122</v>
      </c>
      <c r="F31" s="95"/>
      <c r="G31" s="95"/>
      <c r="H31" s="99" t="e">
        <f>IRR($C23:$W23)</f>
        <v>#DIV/0!</v>
      </c>
      <c r="I31" s="100"/>
      <c r="J31" s="100" t="s">
        <v>102</v>
      </c>
      <c r="K31" s="101">
        <f>$W25</f>
        <v>-2293.6661180695492</v>
      </c>
      <c r="L31" s="100"/>
      <c r="M31" s="100"/>
      <c r="N31" s="100"/>
      <c r="O31" s="100"/>
      <c r="P31" s="102" t="s">
        <v>123</v>
      </c>
      <c r="Q31" s="103">
        <f>MATCH(1,D25:W25)</f>
        <v>20</v>
      </c>
      <c r="R31" s="95"/>
      <c r="S31" s="95"/>
      <c r="T31" s="95"/>
      <c r="U31" s="95"/>
      <c r="V31" s="95"/>
      <c r="W31" s="96"/>
      <c r="X31" s="131"/>
    </row>
    <row r="33" spans="1:22">
      <c r="B33" s="2" t="s">
        <v>113</v>
      </c>
      <c r="D33" s="3"/>
      <c r="E33" s="3"/>
      <c r="F33" s="3"/>
      <c r="G33" s="3"/>
      <c r="H33" s="3"/>
    </row>
    <row r="34" spans="1:22">
      <c r="A34">
        <v>1</v>
      </c>
      <c r="B34" t="s">
        <v>369</v>
      </c>
      <c r="D34" s="4"/>
      <c r="V34" s="343"/>
    </row>
    <row r="35" spans="1:22">
      <c r="A35">
        <v>2</v>
      </c>
      <c r="B35" t="s">
        <v>131</v>
      </c>
      <c r="L35" s="224"/>
      <c r="M35" s="138" t="s">
        <v>307</v>
      </c>
    </row>
    <row r="36" spans="1:22">
      <c r="A36">
        <v>3</v>
      </c>
      <c r="B36" s="138" t="s">
        <v>383</v>
      </c>
      <c r="L36" s="227"/>
      <c r="M36" s="138" t="s">
        <v>308</v>
      </c>
    </row>
    <row r="37" spans="1:22">
      <c r="A37">
        <v>4</v>
      </c>
      <c r="B37" s="138" t="s">
        <v>393</v>
      </c>
    </row>
    <row r="38" spans="1:22">
      <c r="A38">
        <v>5</v>
      </c>
      <c r="B38" s="138" t="s">
        <v>425</v>
      </c>
    </row>
    <row r="41" spans="1:22">
      <c r="B41" s="6"/>
    </row>
  </sheetData>
  <sheetProtection selectLockedCells="1"/>
  <printOptions horizontalCentered="1"/>
  <pageMargins left="1" right="1" top="2.25" bottom="1" header="0.5" footer="0.5"/>
  <pageSetup paperSize="3" scale="80" orientation="landscape" r:id="rId1"/>
  <headerFooter alignWithMargins="0">
    <oddHeader>&amp;L&amp;"Arial,Bold Italic"&amp;11Privileged and Confidential&amp;C&amp;"Arial,Bold Italic"&amp;11Ten Mile River Feasibility Study
Phase 1
&amp;R&amp;"Arial,Bold Italic"&amp;11&amp;A</oddHeader>
    <oddFooter>&amp;L&amp;G&amp;C&amp;"Arial,Bold Italic"For Planning Purposes Only&amp;R&amp;"Arial,Bold Italic"&amp;F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5"/>
  </sheetPr>
  <dimension ref="A1:S174"/>
  <sheetViews>
    <sheetView view="pageBreakPreview" topLeftCell="A77" zoomScale="75" zoomScaleNormal="75" zoomScaleSheetLayoutView="75" workbookViewId="0">
      <selection activeCell="H11" sqref="H11"/>
    </sheetView>
  </sheetViews>
  <sheetFormatPr defaultRowHeight="12.75"/>
  <cols>
    <col min="1" max="1" width="4.85546875" style="11" customWidth="1"/>
    <col min="2" max="2" width="32.5703125" style="11" customWidth="1"/>
    <col min="3" max="3" width="9.140625" style="11"/>
    <col min="4" max="4" width="12.42578125" style="69" customWidth="1"/>
    <col min="5" max="5" width="9.42578125" style="69" customWidth="1"/>
    <col min="6" max="6" width="12.85546875" style="69" customWidth="1"/>
    <col min="7" max="7" width="3.140625" style="11" customWidth="1"/>
    <col min="8" max="8" width="60.7109375" style="11" customWidth="1"/>
    <col min="9" max="9" width="4.85546875" style="11" customWidth="1"/>
    <col min="10" max="10" width="12.28515625" style="51" customWidth="1"/>
    <col min="11" max="11" width="12.42578125" style="10" customWidth="1"/>
    <col min="12" max="12" width="12.5703125" style="10" customWidth="1"/>
    <col min="13" max="14" width="9.140625" style="10"/>
    <col min="15" max="16384" width="9.140625" style="11"/>
  </cols>
  <sheetData>
    <row r="1" spans="1:19" ht="25.5">
      <c r="A1" s="7" t="s">
        <v>0</v>
      </c>
      <c r="B1" s="7" t="s">
        <v>1</v>
      </c>
      <c r="C1" s="7" t="s">
        <v>2</v>
      </c>
      <c r="D1" s="12" t="s">
        <v>3</v>
      </c>
      <c r="E1" s="60" t="s">
        <v>4</v>
      </c>
      <c r="F1" s="60" t="s">
        <v>5</v>
      </c>
      <c r="G1" s="8"/>
      <c r="H1" s="7" t="s">
        <v>6</v>
      </c>
      <c r="I1" s="7"/>
      <c r="J1" s="9"/>
      <c r="L1" s="170" t="s">
        <v>270</v>
      </c>
    </row>
    <row r="2" spans="1:19" ht="16.5" customHeight="1">
      <c r="A2" s="12">
        <v>1</v>
      </c>
      <c r="B2" s="7" t="s">
        <v>7</v>
      </c>
      <c r="C2" s="7"/>
      <c r="D2" s="61"/>
      <c r="E2" s="62"/>
      <c r="F2" s="62"/>
      <c r="G2" s="14"/>
      <c r="H2" s="13"/>
      <c r="I2" s="15"/>
      <c r="J2" s="16"/>
      <c r="K2" s="17"/>
      <c r="L2" s="141" t="s">
        <v>228</v>
      </c>
      <c r="M2" s="17"/>
      <c r="N2" s="17"/>
      <c r="O2" s="18"/>
      <c r="P2" s="18"/>
    </row>
    <row r="3" spans="1:19" ht="16.5" customHeight="1">
      <c r="A3" s="19" t="s">
        <v>8</v>
      </c>
      <c r="B3" s="20" t="s">
        <v>9</v>
      </c>
      <c r="C3" s="20"/>
      <c r="D3" s="61">
        <v>1</v>
      </c>
      <c r="E3" s="62">
        <v>25000</v>
      </c>
      <c r="F3" s="62">
        <f>0.001*D3*E3</f>
        <v>25</v>
      </c>
      <c r="G3" s="14"/>
      <c r="H3" s="13" t="s">
        <v>10</v>
      </c>
      <c r="I3" s="21"/>
      <c r="J3" s="22"/>
      <c r="K3" s="17"/>
      <c r="L3" s="374" t="s">
        <v>271</v>
      </c>
      <c r="M3" s="374"/>
      <c r="N3" s="374"/>
      <c r="O3" s="374"/>
      <c r="P3" s="374"/>
      <c r="Q3" s="374"/>
      <c r="R3" s="374"/>
      <c r="S3" s="374"/>
    </row>
    <row r="4" spans="1:19" ht="16.5" customHeight="1">
      <c r="A4" s="19" t="s">
        <v>11</v>
      </c>
      <c r="B4" s="20" t="s">
        <v>12</v>
      </c>
      <c r="C4" s="20"/>
      <c r="D4" s="61">
        <v>1</v>
      </c>
      <c r="E4" s="62">
        <v>10000</v>
      </c>
      <c r="F4" s="62">
        <f>0.001*D4*E4</f>
        <v>10</v>
      </c>
      <c r="G4" s="14"/>
      <c r="H4" s="13" t="s">
        <v>10</v>
      </c>
      <c r="I4" s="21"/>
      <c r="J4" s="22"/>
      <c r="K4" s="17"/>
      <c r="L4" s="374"/>
      <c r="M4" s="374"/>
      <c r="N4" s="374"/>
      <c r="O4" s="374"/>
      <c r="P4" s="374"/>
      <c r="Q4" s="374"/>
      <c r="R4" s="374"/>
      <c r="S4" s="374"/>
    </row>
    <row r="5" spans="1:19" ht="18" customHeight="1">
      <c r="A5" s="19" t="s">
        <v>13</v>
      </c>
      <c r="B5" s="23" t="s">
        <v>14</v>
      </c>
      <c r="C5" s="23" t="s">
        <v>15</v>
      </c>
      <c r="D5" s="61">
        <v>0.5</v>
      </c>
      <c r="E5" s="62">
        <v>8000</v>
      </c>
      <c r="F5" s="62">
        <f>0.001*D5*E5</f>
        <v>4</v>
      </c>
      <c r="G5" s="14"/>
      <c r="H5" s="13" t="s">
        <v>10</v>
      </c>
      <c r="I5" s="21"/>
      <c r="J5" s="22"/>
      <c r="K5" s="17"/>
      <c r="L5" s="374"/>
      <c r="M5" s="374"/>
      <c r="N5" s="374"/>
      <c r="O5" s="374"/>
      <c r="P5" s="374"/>
      <c r="Q5" s="374"/>
      <c r="R5" s="374"/>
      <c r="S5" s="374"/>
    </row>
    <row r="6" spans="1:19" ht="16.5" customHeight="1">
      <c r="A6" s="19" t="s">
        <v>16</v>
      </c>
      <c r="B6" s="23" t="s">
        <v>17</v>
      </c>
      <c r="C6" s="23" t="s">
        <v>18</v>
      </c>
      <c r="D6" s="61">
        <v>100</v>
      </c>
      <c r="E6" s="62">
        <v>10</v>
      </c>
      <c r="F6" s="62">
        <f>0.001*D6*E6</f>
        <v>1</v>
      </c>
      <c r="G6" s="14"/>
      <c r="H6" s="13" t="s">
        <v>10</v>
      </c>
      <c r="I6" s="18"/>
      <c r="J6" s="24"/>
      <c r="K6" s="25"/>
      <c r="L6" s="374"/>
      <c r="M6" s="374"/>
      <c r="N6" s="374"/>
      <c r="O6" s="374"/>
      <c r="P6" s="374"/>
      <c r="Q6" s="374"/>
      <c r="R6" s="374"/>
      <c r="S6" s="374"/>
    </row>
    <row r="7" spans="1:19" ht="16.5" customHeight="1">
      <c r="A7" s="26" t="s">
        <v>19</v>
      </c>
      <c r="B7" s="27" t="s">
        <v>151</v>
      </c>
      <c r="C7" s="27"/>
      <c r="D7" s="184">
        <v>1</v>
      </c>
      <c r="E7" s="64">
        <f>'Phase I Dam Repairs'!D4*1000</f>
        <v>40000</v>
      </c>
      <c r="F7" s="64">
        <f>0.001*D7*E7</f>
        <v>40</v>
      </c>
      <c r="G7" s="29"/>
      <c r="H7" s="238" t="s">
        <v>265</v>
      </c>
      <c r="I7" s="21"/>
      <c r="J7" s="22"/>
      <c r="K7" s="30"/>
      <c r="L7" s="374"/>
      <c r="M7" s="374"/>
      <c r="N7" s="374"/>
      <c r="O7" s="374"/>
      <c r="P7" s="374"/>
      <c r="Q7" s="374"/>
      <c r="R7" s="374"/>
      <c r="S7" s="374"/>
    </row>
    <row r="8" spans="1:19" ht="16.5" customHeight="1">
      <c r="A8" s="19" t="s">
        <v>21</v>
      </c>
      <c r="B8" s="19" t="s">
        <v>22</v>
      </c>
      <c r="C8" s="19"/>
      <c r="D8" s="61"/>
      <c r="E8" s="62"/>
      <c r="F8" s="62">
        <f>SUM(F2:F7)</f>
        <v>80</v>
      </c>
      <c r="G8" s="14"/>
      <c r="H8" s="13"/>
      <c r="I8" s="21"/>
      <c r="J8" s="22"/>
      <c r="K8" s="31"/>
      <c r="L8" s="374"/>
      <c r="M8" s="374"/>
      <c r="N8" s="374"/>
      <c r="O8" s="374"/>
      <c r="P8" s="374"/>
      <c r="Q8" s="374"/>
      <c r="R8" s="374"/>
      <c r="S8" s="374"/>
    </row>
    <row r="9" spans="1:19" ht="16.5" customHeight="1">
      <c r="A9" s="19"/>
      <c r="B9" s="13"/>
      <c r="C9" s="13"/>
      <c r="D9" s="61"/>
      <c r="E9" s="62"/>
      <c r="F9" s="62"/>
      <c r="G9" s="14"/>
      <c r="H9" s="13"/>
      <c r="I9" s="21"/>
      <c r="J9" s="22"/>
      <c r="K9" s="31"/>
      <c r="L9" s="374"/>
      <c r="M9" s="374"/>
      <c r="N9" s="374"/>
      <c r="O9" s="374"/>
      <c r="P9" s="374"/>
      <c r="Q9" s="374"/>
      <c r="R9" s="374"/>
      <c r="S9" s="374"/>
    </row>
    <row r="10" spans="1:19" ht="16.5" customHeight="1">
      <c r="A10" s="12">
        <v>2</v>
      </c>
      <c r="B10" s="7" t="s">
        <v>130</v>
      </c>
      <c r="C10" s="7"/>
      <c r="D10" s="65"/>
      <c r="E10" s="62"/>
      <c r="F10" s="62"/>
      <c r="G10" s="14"/>
      <c r="H10" s="13"/>
      <c r="I10" s="21"/>
      <c r="J10" s="22"/>
      <c r="K10" s="31"/>
      <c r="L10" s="374"/>
      <c r="M10" s="374"/>
      <c r="N10" s="374"/>
      <c r="O10" s="374"/>
      <c r="P10" s="374"/>
      <c r="Q10" s="374"/>
      <c r="R10" s="374"/>
      <c r="S10" s="374"/>
    </row>
    <row r="11" spans="1:19" ht="16.5" customHeight="1">
      <c r="A11" s="19" t="s">
        <v>8</v>
      </c>
      <c r="B11" s="20" t="s">
        <v>114</v>
      </c>
      <c r="C11" s="32"/>
      <c r="D11" s="66"/>
      <c r="E11" s="62"/>
      <c r="F11" s="62">
        <v>100</v>
      </c>
      <c r="G11" s="14"/>
      <c r="H11" s="13" t="s">
        <v>10</v>
      </c>
      <c r="I11" s="21"/>
      <c r="J11" s="22"/>
      <c r="K11" s="31"/>
      <c r="L11" s="374"/>
      <c r="M11" s="374"/>
      <c r="N11" s="374"/>
      <c r="O11" s="374"/>
      <c r="P11" s="374"/>
      <c r="Q11" s="374"/>
      <c r="R11" s="374"/>
      <c r="S11" s="374"/>
    </row>
    <row r="12" spans="1:19" ht="16.5" customHeight="1">
      <c r="A12" s="19" t="s">
        <v>11</v>
      </c>
      <c r="B12" s="194" t="s">
        <v>376</v>
      </c>
      <c r="C12" s="32"/>
      <c r="D12" s="66"/>
      <c r="E12" s="62"/>
      <c r="F12" s="62">
        <v>10</v>
      </c>
      <c r="G12" s="14"/>
      <c r="H12" s="13" t="s">
        <v>10</v>
      </c>
      <c r="I12" s="21"/>
      <c r="J12" s="22"/>
      <c r="K12" s="31"/>
      <c r="L12" s="31"/>
      <c r="M12" s="31"/>
      <c r="N12" s="17"/>
      <c r="O12" s="18"/>
      <c r="P12" s="18"/>
    </row>
    <row r="13" spans="1:19" ht="16.5" customHeight="1">
      <c r="A13" s="19" t="s">
        <v>13</v>
      </c>
      <c r="B13" s="194" t="s">
        <v>318</v>
      </c>
      <c r="C13" s="20"/>
      <c r="D13" s="66">
        <v>1</v>
      </c>
      <c r="E13" s="62">
        <f>'Pwrhse Cost Estimator'!D30</f>
        <v>677586.02465811581</v>
      </c>
      <c r="F13" s="62">
        <f t="shared" ref="F13:F29" si="0">0.001*D13*E13</f>
        <v>677.58602465811578</v>
      </c>
      <c r="G13" s="14"/>
      <c r="H13" s="142" t="s">
        <v>377</v>
      </c>
      <c r="I13" s="21"/>
      <c r="J13" s="22"/>
      <c r="K13" s="31"/>
      <c r="L13" s="31"/>
      <c r="M13" s="31"/>
      <c r="N13" s="17"/>
      <c r="O13" s="18"/>
      <c r="P13" s="18"/>
    </row>
    <row r="14" spans="1:19" ht="16.5" hidden="1" customHeight="1">
      <c r="A14" s="19" t="s">
        <v>25</v>
      </c>
      <c r="B14" s="34" t="s">
        <v>26</v>
      </c>
      <c r="C14" s="23" t="s">
        <v>27</v>
      </c>
      <c r="D14" s="173">
        <v>0</v>
      </c>
      <c r="E14" s="171">
        <v>25</v>
      </c>
      <c r="F14" s="62">
        <f t="shared" si="0"/>
        <v>0</v>
      </c>
      <c r="G14" s="14"/>
      <c r="H14" s="143" t="s">
        <v>253</v>
      </c>
      <c r="I14" s="21"/>
      <c r="J14" s="22"/>
      <c r="K14" s="17"/>
      <c r="L14" s="17"/>
      <c r="M14" s="17"/>
      <c r="N14" s="17"/>
      <c r="O14" s="18"/>
      <c r="P14" s="18"/>
    </row>
    <row r="15" spans="1:19" ht="27.75" hidden="1" customHeight="1">
      <c r="A15" s="19" t="s">
        <v>28</v>
      </c>
      <c r="B15" s="35" t="s">
        <v>29</v>
      </c>
      <c r="C15" s="23" t="s">
        <v>27</v>
      </c>
      <c r="D15" s="174">
        <v>0</v>
      </c>
      <c r="E15" s="62">
        <v>100</v>
      </c>
      <c r="F15" s="62">
        <f t="shared" si="0"/>
        <v>0</v>
      </c>
      <c r="G15" s="14"/>
      <c r="H15" s="143" t="s">
        <v>253</v>
      </c>
      <c r="I15" s="21"/>
      <c r="J15" s="22"/>
      <c r="K15" s="17"/>
      <c r="L15" s="17"/>
      <c r="M15" s="17"/>
      <c r="N15" s="17"/>
      <c r="O15" s="18"/>
      <c r="P15" s="18"/>
    </row>
    <row r="16" spans="1:19" ht="16.5" hidden="1" customHeight="1">
      <c r="A16" s="19" t="s">
        <v>30</v>
      </c>
      <c r="B16" s="35" t="s">
        <v>31</v>
      </c>
      <c r="C16" s="23" t="s">
        <v>27</v>
      </c>
      <c r="D16" s="174">
        <v>0</v>
      </c>
      <c r="E16" s="62">
        <v>100</v>
      </c>
      <c r="F16" s="62">
        <f t="shared" si="0"/>
        <v>0</v>
      </c>
      <c r="G16" s="14"/>
      <c r="H16" s="143" t="s">
        <v>253</v>
      </c>
      <c r="I16" s="18"/>
      <c r="J16" s="24"/>
      <c r="K16" s="25"/>
      <c r="L16" s="25"/>
      <c r="M16" s="25"/>
      <c r="N16" s="17"/>
      <c r="O16" s="18"/>
      <c r="P16" s="18"/>
    </row>
    <row r="17" spans="1:16" ht="16.5" hidden="1" customHeight="1">
      <c r="A17" s="21" t="s">
        <v>16</v>
      </c>
      <c r="B17" s="23" t="s">
        <v>32</v>
      </c>
      <c r="C17" s="23"/>
      <c r="D17" s="67">
        <v>0</v>
      </c>
      <c r="E17" s="62">
        <v>10000</v>
      </c>
      <c r="F17" s="62">
        <f t="shared" si="0"/>
        <v>0</v>
      </c>
      <c r="G17" s="14"/>
      <c r="H17" s="13" t="s">
        <v>10</v>
      </c>
      <c r="I17" s="21"/>
      <c r="J17" s="22"/>
      <c r="K17" s="30"/>
      <c r="L17" s="30"/>
      <c r="M17" s="30"/>
      <c r="N17" s="17"/>
      <c r="O17" s="18"/>
      <c r="P17" s="18"/>
    </row>
    <row r="18" spans="1:16" ht="16.5" hidden="1" customHeight="1">
      <c r="A18" s="19" t="s">
        <v>19</v>
      </c>
      <c r="B18" s="23" t="s">
        <v>33</v>
      </c>
      <c r="C18" s="23" t="s">
        <v>34</v>
      </c>
      <c r="D18" s="67">
        <v>0</v>
      </c>
      <c r="E18" s="62">
        <v>1000</v>
      </c>
      <c r="F18" s="62">
        <f t="shared" si="0"/>
        <v>0</v>
      </c>
      <c r="G18" s="14"/>
      <c r="H18" s="36" t="s">
        <v>156</v>
      </c>
      <c r="I18" s="21"/>
      <c r="J18" s="22"/>
      <c r="K18" s="31"/>
      <c r="L18" s="31"/>
      <c r="M18" s="30"/>
      <c r="N18" s="17"/>
      <c r="O18" s="18"/>
      <c r="P18" s="18"/>
    </row>
    <row r="19" spans="1:16" ht="16.5" hidden="1" customHeight="1">
      <c r="A19" s="19" t="s">
        <v>21</v>
      </c>
      <c r="B19" s="23" t="s">
        <v>57</v>
      </c>
      <c r="C19" s="23" t="s">
        <v>27</v>
      </c>
      <c r="D19" s="175">
        <v>0</v>
      </c>
      <c r="E19" s="62">
        <v>750</v>
      </c>
      <c r="F19" s="62">
        <f t="shared" si="0"/>
        <v>0</v>
      </c>
      <c r="G19" s="14"/>
      <c r="H19" s="13" t="s">
        <v>10</v>
      </c>
      <c r="I19" s="21"/>
      <c r="J19" s="22"/>
      <c r="K19" s="31"/>
      <c r="L19" s="31"/>
      <c r="M19" s="30"/>
      <c r="N19" s="17"/>
      <c r="O19" s="18"/>
      <c r="P19" s="18"/>
    </row>
    <row r="20" spans="1:16" ht="16.5" hidden="1" customHeight="1">
      <c r="A20" s="19" t="s">
        <v>35</v>
      </c>
      <c r="B20" s="23" t="s">
        <v>124</v>
      </c>
      <c r="C20" s="23" t="s">
        <v>23</v>
      </c>
      <c r="D20" s="174">
        <v>0</v>
      </c>
      <c r="E20" s="62">
        <v>100</v>
      </c>
      <c r="F20" s="62">
        <f t="shared" si="0"/>
        <v>0</v>
      </c>
      <c r="G20" s="14"/>
      <c r="H20" s="143" t="s">
        <v>253</v>
      </c>
      <c r="I20" s="21"/>
      <c r="J20" s="22"/>
      <c r="K20" s="31"/>
      <c r="L20" s="31"/>
      <c r="M20" s="31"/>
      <c r="N20" s="17"/>
      <c r="O20" s="18"/>
      <c r="P20" s="18"/>
    </row>
    <row r="21" spans="1:16" ht="16.5" hidden="1" customHeight="1">
      <c r="A21" s="19" t="s">
        <v>36</v>
      </c>
      <c r="B21" s="20" t="s">
        <v>37</v>
      </c>
      <c r="C21" s="32" t="s">
        <v>23</v>
      </c>
      <c r="D21" s="173">
        <v>0</v>
      </c>
      <c r="E21" s="62">
        <v>400</v>
      </c>
      <c r="F21" s="62">
        <f t="shared" si="0"/>
        <v>0</v>
      </c>
      <c r="G21" s="14"/>
      <c r="H21" s="143" t="s">
        <v>252</v>
      </c>
      <c r="I21" s="21"/>
      <c r="J21" s="22"/>
      <c r="K21" s="31"/>
      <c r="L21" s="31"/>
      <c r="M21" s="31"/>
      <c r="N21" s="17"/>
      <c r="O21" s="18"/>
      <c r="P21" s="18"/>
    </row>
    <row r="22" spans="1:16" ht="16.5" hidden="1" customHeight="1">
      <c r="A22" s="19" t="s">
        <v>25</v>
      </c>
      <c r="B22" s="20" t="s">
        <v>38</v>
      </c>
      <c r="C22" s="32"/>
      <c r="D22" s="66">
        <v>0</v>
      </c>
      <c r="E22" s="62">
        <v>150000</v>
      </c>
      <c r="F22" s="62">
        <f t="shared" si="0"/>
        <v>0</v>
      </c>
      <c r="G22" s="14"/>
      <c r="H22" s="36" t="s">
        <v>159</v>
      </c>
      <c r="I22" s="21"/>
      <c r="J22" s="22"/>
      <c r="K22" s="31"/>
      <c r="L22" s="31"/>
      <c r="M22" s="31"/>
      <c r="N22" s="17"/>
      <c r="O22" s="18"/>
      <c r="P22" s="18"/>
    </row>
    <row r="23" spans="1:16" ht="16.5" hidden="1" customHeight="1">
      <c r="A23" s="19" t="s">
        <v>39</v>
      </c>
      <c r="B23" s="23" t="s">
        <v>160</v>
      </c>
      <c r="C23" s="20"/>
      <c r="D23" s="61">
        <v>0</v>
      </c>
      <c r="E23" s="62">
        <v>15000</v>
      </c>
      <c r="F23" s="62">
        <f t="shared" si="0"/>
        <v>0</v>
      </c>
      <c r="G23" s="14"/>
      <c r="H23" s="36" t="s">
        <v>10</v>
      </c>
      <c r="J23" s="11"/>
      <c r="K23" s="11"/>
      <c r="L23" s="11"/>
      <c r="M23" s="11"/>
      <c r="N23" s="11"/>
    </row>
    <row r="24" spans="1:16" ht="16.5" customHeight="1">
      <c r="A24" s="19" t="s">
        <v>40</v>
      </c>
      <c r="B24" s="20" t="s">
        <v>129</v>
      </c>
      <c r="C24" s="20"/>
      <c r="D24" s="61">
        <v>1</v>
      </c>
      <c r="E24" s="62">
        <v>20000</v>
      </c>
      <c r="F24" s="62">
        <f t="shared" si="0"/>
        <v>20</v>
      </c>
      <c r="G24" s="14"/>
      <c r="H24" s="13"/>
      <c r="I24" s="19"/>
      <c r="J24" s="37"/>
    </row>
    <row r="25" spans="1:16" ht="16.5" customHeight="1">
      <c r="A25" s="19" t="s">
        <v>41</v>
      </c>
      <c r="B25" s="20" t="s">
        <v>42</v>
      </c>
      <c r="C25" s="20"/>
      <c r="D25" s="61">
        <v>1</v>
      </c>
      <c r="E25" s="62">
        <v>5000</v>
      </c>
      <c r="F25" s="62">
        <f t="shared" si="0"/>
        <v>5</v>
      </c>
      <c r="G25" s="14"/>
      <c r="H25" s="13" t="s">
        <v>10</v>
      </c>
      <c r="I25" s="19"/>
      <c r="J25" s="37"/>
    </row>
    <row r="26" spans="1:16" ht="16.5" customHeight="1">
      <c r="A26" s="19" t="s">
        <v>43</v>
      </c>
      <c r="B26" s="20" t="s">
        <v>44</v>
      </c>
      <c r="C26" s="20"/>
      <c r="D26" s="61">
        <v>1</v>
      </c>
      <c r="E26" s="239">
        <v>10000</v>
      </c>
      <c r="F26" s="239">
        <f t="shared" si="0"/>
        <v>10</v>
      </c>
      <c r="G26" s="240"/>
      <c r="H26" s="142" t="s">
        <v>10</v>
      </c>
      <c r="I26" s="19"/>
      <c r="J26" s="37"/>
    </row>
    <row r="27" spans="1:16" ht="19.5" customHeight="1">
      <c r="A27" s="19" t="s">
        <v>45</v>
      </c>
      <c r="B27" s="20" t="s">
        <v>46</v>
      </c>
      <c r="C27" s="20"/>
      <c r="D27" s="61">
        <v>1</v>
      </c>
      <c r="E27" s="62">
        <v>10000</v>
      </c>
      <c r="F27" s="62">
        <f t="shared" si="0"/>
        <v>10</v>
      </c>
      <c r="G27" s="14"/>
      <c r="H27" s="13" t="s">
        <v>10</v>
      </c>
      <c r="I27" s="19"/>
      <c r="J27" s="37"/>
    </row>
    <row r="28" spans="1:16">
      <c r="A28" s="19" t="s">
        <v>47</v>
      </c>
      <c r="B28" s="20" t="s">
        <v>48</v>
      </c>
      <c r="C28" s="20"/>
      <c r="D28" s="61">
        <v>1</v>
      </c>
      <c r="E28" s="62">
        <v>5000</v>
      </c>
      <c r="F28" s="62">
        <f t="shared" si="0"/>
        <v>5</v>
      </c>
      <c r="G28" s="14"/>
      <c r="H28" s="13" t="s">
        <v>10</v>
      </c>
      <c r="I28" s="19"/>
      <c r="J28" s="37"/>
    </row>
    <row r="29" spans="1:16" ht="16.5" customHeight="1">
      <c r="A29" s="26" t="s">
        <v>49</v>
      </c>
      <c r="B29" s="192" t="s">
        <v>20</v>
      </c>
      <c r="C29" s="27"/>
      <c r="D29" s="68">
        <v>0</v>
      </c>
      <c r="E29" s="64"/>
      <c r="F29" s="64">
        <f t="shared" si="0"/>
        <v>0</v>
      </c>
      <c r="G29" s="29"/>
      <c r="H29" s="238"/>
      <c r="I29" s="19"/>
      <c r="J29" s="37"/>
    </row>
    <row r="30" spans="1:16">
      <c r="A30" s="19" t="s">
        <v>50</v>
      </c>
      <c r="B30" s="19" t="s">
        <v>51</v>
      </c>
      <c r="C30" s="19"/>
      <c r="D30" s="61"/>
      <c r="E30" s="62"/>
      <c r="F30" s="62">
        <f>SUM(F11:F29)</f>
        <v>837.58602465811578</v>
      </c>
      <c r="G30" s="14"/>
      <c r="H30" s="13"/>
      <c r="I30" s="19"/>
      <c r="J30" s="37"/>
    </row>
    <row r="31" spans="1:16" ht="16.5" customHeight="1">
      <c r="A31" s="19"/>
      <c r="B31" s="13"/>
      <c r="C31" s="13"/>
      <c r="D31" s="61"/>
      <c r="E31" s="62"/>
      <c r="F31" s="62"/>
      <c r="G31" s="14"/>
      <c r="H31" s="13"/>
      <c r="I31" s="19"/>
      <c r="J31" s="37"/>
    </row>
    <row r="32" spans="1:16" ht="16.5" customHeight="1">
      <c r="A32" s="12">
        <v>3</v>
      </c>
      <c r="B32" s="7" t="s">
        <v>52</v>
      </c>
      <c r="C32" s="7"/>
      <c r="D32" s="61"/>
      <c r="E32" s="62"/>
      <c r="F32" s="62"/>
      <c r="G32" s="14"/>
      <c r="H32" s="13"/>
      <c r="I32" s="19"/>
      <c r="J32" s="37"/>
    </row>
    <row r="33" spans="1:10">
      <c r="A33" s="19" t="s">
        <v>8</v>
      </c>
      <c r="B33" s="194" t="s">
        <v>319</v>
      </c>
      <c r="C33" s="20"/>
      <c r="D33" s="61">
        <v>1</v>
      </c>
      <c r="E33" s="62">
        <f>'TG Costs'!D29</f>
        <v>701857.76</v>
      </c>
      <c r="F33" s="62">
        <f t="shared" ref="F33:F38" si="1">0.001*D33*E33</f>
        <v>701.85775999999998</v>
      </c>
      <c r="G33" s="14"/>
      <c r="H33" s="142" t="s">
        <v>387</v>
      </c>
      <c r="I33" s="19"/>
      <c r="J33" s="37"/>
    </row>
    <row r="34" spans="1:10" ht="20.25" customHeight="1">
      <c r="A34" s="19" t="s">
        <v>11</v>
      </c>
      <c r="B34" s="23" t="s">
        <v>161</v>
      </c>
      <c r="C34" s="20"/>
      <c r="D34" s="61">
        <v>1</v>
      </c>
      <c r="E34" s="62">
        <f>SUM(F33,F35:F38)*1000*0.2</f>
        <v>163371.55200000003</v>
      </c>
      <c r="F34" s="62">
        <f t="shared" si="1"/>
        <v>163.37155200000004</v>
      </c>
      <c r="G34" s="14"/>
      <c r="H34" s="36" t="s">
        <v>162</v>
      </c>
      <c r="I34" s="19"/>
      <c r="J34" s="37"/>
    </row>
    <row r="35" spans="1:10" ht="16.5" customHeight="1">
      <c r="A35" s="19" t="s">
        <v>13</v>
      </c>
      <c r="B35" s="20" t="s">
        <v>53</v>
      </c>
      <c r="C35" s="20"/>
      <c r="D35" s="191">
        <v>1</v>
      </c>
      <c r="E35" s="239">
        <f>'Interconnect Costs'!G10</f>
        <v>20000</v>
      </c>
      <c r="F35" s="239">
        <f t="shared" si="1"/>
        <v>20</v>
      </c>
      <c r="G35" s="240"/>
      <c r="H35" s="142" t="s">
        <v>272</v>
      </c>
      <c r="I35" s="19"/>
      <c r="J35" s="37"/>
    </row>
    <row r="36" spans="1:10" ht="16.5" customHeight="1">
      <c r="A36" s="19" t="s">
        <v>16</v>
      </c>
      <c r="B36" s="194" t="s">
        <v>320</v>
      </c>
      <c r="C36" s="20"/>
      <c r="D36" s="191">
        <v>1</v>
      </c>
      <c r="E36" s="239">
        <v>50000</v>
      </c>
      <c r="F36" s="239">
        <f t="shared" si="1"/>
        <v>50</v>
      </c>
      <c r="G36" s="240"/>
      <c r="H36" s="142" t="s">
        <v>379</v>
      </c>
      <c r="I36" s="19"/>
      <c r="J36" s="37"/>
    </row>
    <row r="37" spans="1:10">
      <c r="A37" s="19" t="s">
        <v>19</v>
      </c>
      <c r="B37" s="20" t="s">
        <v>55</v>
      </c>
      <c r="C37" s="20"/>
      <c r="D37" s="191">
        <v>1</v>
      </c>
      <c r="E37" s="239">
        <v>20000</v>
      </c>
      <c r="F37" s="239">
        <f t="shared" si="1"/>
        <v>20</v>
      </c>
      <c r="G37" s="240"/>
      <c r="H37" s="142" t="s">
        <v>10</v>
      </c>
      <c r="I37" s="19"/>
      <c r="J37" s="37"/>
    </row>
    <row r="38" spans="1:10" ht="16.5" customHeight="1">
      <c r="A38" s="26" t="s">
        <v>21</v>
      </c>
      <c r="B38" s="192" t="s">
        <v>321</v>
      </c>
      <c r="C38" s="27"/>
      <c r="D38" s="184">
        <v>1</v>
      </c>
      <c r="E38" s="64">
        <v>25000</v>
      </c>
      <c r="F38" s="64">
        <f t="shared" si="1"/>
        <v>25</v>
      </c>
      <c r="G38" s="29"/>
      <c r="H38" s="238" t="s">
        <v>10</v>
      </c>
      <c r="I38" s="19"/>
      <c r="J38" s="37"/>
    </row>
    <row r="39" spans="1:10" ht="16.5" customHeight="1">
      <c r="A39" s="19" t="s">
        <v>35</v>
      </c>
      <c r="B39" s="19" t="s">
        <v>56</v>
      </c>
      <c r="C39" s="19"/>
      <c r="D39" s="61"/>
      <c r="E39" s="62"/>
      <c r="F39" s="62">
        <f>SUM(F33:F38)</f>
        <v>980.22931200000005</v>
      </c>
      <c r="G39" s="14"/>
      <c r="H39" s="13"/>
      <c r="I39" s="19"/>
      <c r="J39" s="37"/>
    </row>
    <row r="40" spans="1:10" ht="16.5" hidden="1" customHeight="1">
      <c r="A40" s="19"/>
      <c r="B40" s="13"/>
      <c r="C40" s="13"/>
      <c r="D40" s="61"/>
      <c r="E40" s="62"/>
      <c r="F40" s="62"/>
      <c r="G40" s="14"/>
      <c r="H40" s="13"/>
      <c r="I40" s="19"/>
      <c r="J40" s="37"/>
    </row>
    <row r="41" spans="1:10" ht="16.5" hidden="1" customHeight="1">
      <c r="A41" s="12">
        <v>4</v>
      </c>
      <c r="B41" s="7" t="s">
        <v>132</v>
      </c>
      <c r="C41" s="7"/>
      <c r="D41" s="61"/>
      <c r="E41" s="62"/>
      <c r="F41" s="62"/>
      <c r="G41" s="14"/>
      <c r="H41" s="13"/>
      <c r="I41" s="19"/>
      <c r="J41" s="37"/>
    </row>
    <row r="42" spans="1:10" ht="16.5" hidden="1" customHeight="1">
      <c r="A42" s="19" t="s">
        <v>8</v>
      </c>
      <c r="B42" s="20" t="s">
        <v>133</v>
      </c>
      <c r="C42" s="23" t="s">
        <v>23</v>
      </c>
      <c r="D42" s="61"/>
      <c r="E42" s="62">
        <v>40</v>
      </c>
      <c r="F42" s="62">
        <f>0.001*D42*E42</f>
        <v>0</v>
      </c>
      <c r="G42" s="14"/>
      <c r="H42" s="13" t="s">
        <v>10</v>
      </c>
      <c r="I42" s="19"/>
      <c r="J42" s="37"/>
    </row>
    <row r="43" spans="1:10" ht="16.5" hidden="1" customHeight="1">
      <c r="A43" s="19" t="s">
        <v>11</v>
      </c>
      <c r="B43" s="20" t="s">
        <v>24</v>
      </c>
      <c r="C43" s="23" t="s">
        <v>27</v>
      </c>
      <c r="D43" s="61"/>
      <c r="E43" s="62">
        <v>15</v>
      </c>
      <c r="F43" s="62">
        <f>0.001*D43*E43</f>
        <v>0</v>
      </c>
      <c r="G43" s="14"/>
      <c r="H43" s="13" t="s">
        <v>10</v>
      </c>
      <c r="I43" s="19"/>
      <c r="J43" s="37"/>
    </row>
    <row r="44" spans="1:10" ht="16.5" hidden="1" customHeight="1">
      <c r="A44" s="19" t="s">
        <v>13</v>
      </c>
      <c r="B44" s="20" t="s">
        <v>134</v>
      </c>
      <c r="C44" s="23" t="s">
        <v>27</v>
      </c>
      <c r="D44" s="61"/>
      <c r="E44" s="62">
        <v>450</v>
      </c>
      <c r="F44" s="62">
        <f>0.001*D44*E44</f>
        <v>0</v>
      </c>
      <c r="G44" s="14"/>
      <c r="H44" s="13" t="s">
        <v>10</v>
      </c>
      <c r="I44" s="19"/>
      <c r="J44" s="37"/>
    </row>
    <row r="45" spans="1:10" hidden="1">
      <c r="A45" s="19" t="s">
        <v>16</v>
      </c>
      <c r="B45" s="20" t="s">
        <v>135</v>
      </c>
      <c r="C45" s="20"/>
      <c r="D45" s="61"/>
      <c r="E45" s="62"/>
      <c r="F45" s="62">
        <f>0.001*D45*E45</f>
        <v>0</v>
      </c>
      <c r="G45" s="14"/>
      <c r="H45" s="36"/>
      <c r="I45" s="19"/>
      <c r="J45" s="37"/>
    </row>
    <row r="46" spans="1:10" ht="16.5" hidden="1" customHeight="1">
      <c r="A46" s="26" t="s">
        <v>19</v>
      </c>
      <c r="B46" s="27" t="s">
        <v>20</v>
      </c>
      <c r="C46" s="27"/>
      <c r="D46" s="63"/>
      <c r="E46" s="64"/>
      <c r="F46" s="64">
        <f>0.001*D46*E46</f>
        <v>0</v>
      </c>
      <c r="G46" s="29"/>
      <c r="H46" s="28"/>
      <c r="I46" s="19"/>
      <c r="J46" s="37"/>
    </row>
    <row r="47" spans="1:10" ht="16.5" hidden="1" customHeight="1">
      <c r="A47" s="19" t="s">
        <v>21</v>
      </c>
      <c r="B47" s="19" t="s">
        <v>136</v>
      </c>
      <c r="C47" s="19"/>
      <c r="D47" s="61"/>
      <c r="E47" s="62"/>
      <c r="F47" s="62">
        <f>SUM(F42:F46)</f>
        <v>0</v>
      </c>
      <c r="G47" s="14"/>
      <c r="H47" s="13"/>
      <c r="I47" s="19"/>
      <c r="J47" s="37"/>
    </row>
    <row r="48" spans="1:10" ht="16.5" hidden="1" customHeight="1">
      <c r="A48" s="19"/>
      <c r="B48" s="13"/>
      <c r="C48" s="13"/>
      <c r="D48" s="61"/>
      <c r="E48" s="62"/>
      <c r="F48" s="62"/>
      <c r="G48" s="14"/>
      <c r="H48" s="13"/>
      <c r="I48" s="19"/>
      <c r="J48" s="37"/>
    </row>
    <row r="49" spans="1:10" ht="16.5" hidden="1" customHeight="1">
      <c r="A49" s="12">
        <v>5</v>
      </c>
      <c r="B49" s="7" t="s">
        <v>137</v>
      </c>
      <c r="C49" s="7"/>
      <c r="D49" s="61"/>
      <c r="E49" s="62"/>
      <c r="F49" s="62"/>
      <c r="G49" s="14"/>
      <c r="H49" s="13"/>
      <c r="I49" s="19"/>
      <c r="J49" s="37"/>
    </row>
    <row r="50" spans="1:10" ht="16.5" hidden="1" customHeight="1">
      <c r="A50" s="39" t="s">
        <v>8</v>
      </c>
      <c r="B50" s="40" t="s">
        <v>138</v>
      </c>
      <c r="C50" s="40"/>
      <c r="D50" s="61"/>
      <c r="E50" s="62">
        <v>1000</v>
      </c>
      <c r="F50" s="62">
        <f t="shared" ref="F50:F55" si="2">0.001*D50*E50</f>
        <v>0</v>
      </c>
      <c r="G50" s="14"/>
      <c r="H50" s="13" t="s">
        <v>10</v>
      </c>
      <c r="I50" s="19"/>
      <c r="J50" s="37"/>
    </row>
    <row r="51" spans="1:10" ht="16.5" hidden="1" customHeight="1">
      <c r="A51" s="39" t="s">
        <v>11</v>
      </c>
      <c r="B51" s="23" t="s">
        <v>17</v>
      </c>
      <c r="C51" s="23" t="s">
        <v>18</v>
      </c>
      <c r="D51" s="61"/>
      <c r="E51" s="62">
        <v>5</v>
      </c>
      <c r="F51" s="62">
        <f t="shared" si="2"/>
        <v>0</v>
      </c>
      <c r="G51" s="14"/>
      <c r="H51" s="13" t="s">
        <v>139</v>
      </c>
      <c r="I51" s="19"/>
      <c r="J51" s="37"/>
    </row>
    <row r="52" spans="1:10" ht="16.5" hidden="1" customHeight="1">
      <c r="A52" s="19" t="s">
        <v>13</v>
      </c>
      <c r="B52" s="41" t="s">
        <v>140</v>
      </c>
      <c r="C52" s="40" t="s">
        <v>15</v>
      </c>
      <c r="D52" s="61"/>
      <c r="E52" s="62">
        <v>6201</v>
      </c>
      <c r="F52" s="62">
        <f t="shared" si="2"/>
        <v>0</v>
      </c>
      <c r="G52" s="14"/>
      <c r="H52" s="13" t="s">
        <v>10</v>
      </c>
      <c r="I52" s="19"/>
      <c r="J52" s="37"/>
    </row>
    <row r="53" spans="1:10" ht="16.5" hidden="1" customHeight="1">
      <c r="A53" s="19" t="s">
        <v>16</v>
      </c>
      <c r="B53" s="41" t="s">
        <v>24</v>
      </c>
      <c r="C53" s="41" t="s">
        <v>27</v>
      </c>
      <c r="D53" s="67"/>
      <c r="E53" s="62">
        <v>15</v>
      </c>
      <c r="F53" s="62">
        <f t="shared" si="2"/>
        <v>0</v>
      </c>
      <c r="G53" s="14"/>
      <c r="H53" s="13" t="s">
        <v>139</v>
      </c>
      <c r="I53" s="19"/>
      <c r="J53" s="37"/>
    </row>
    <row r="54" spans="1:10" ht="16.5" hidden="1" customHeight="1">
      <c r="A54" s="19" t="s">
        <v>19</v>
      </c>
      <c r="B54" s="41" t="s">
        <v>141</v>
      </c>
      <c r="C54" s="41" t="s">
        <v>27</v>
      </c>
      <c r="D54" s="67"/>
      <c r="E54" s="62">
        <v>40</v>
      </c>
      <c r="F54" s="62">
        <f t="shared" si="2"/>
        <v>0</v>
      </c>
      <c r="G54" s="14"/>
      <c r="H54" s="13" t="s">
        <v>139</v>
      </c>
      <c r="I54" s="19"/>
      <c r="J54" s="37"/>
    </row>
    <row r="55" spans="1:10" ht="16.5" hidden="1" customHeight="1">
      <c r="A55" s="26" t="s">
        <v>21</v>
      </c>
      <c r="B55" s="27" t="s">
        <v>20</v>
      </c>
      <c r="C55" s="27"/>
      <c r="D55" s="63"/>
      <c r="E55" s="64"/>
      <c r="F55" s="64">
        <f t="shared" si="2"/>
        <v>0</v>
      </c>
      <c r="G55" s="29"/>
      <c r="H55" s="28"/>
      <c r="I55" s="19"/>
      <c r="J55" s="37"/>
    </row>
    <row r="56" spans="1:10" ht="16.5" hidden="1" customHeight="1">
      <c r="A56" s="19" t="s">
        <v>35</v>
      </c>
      <c r="B56" s="21" t="s">
        <v>142</v>
      </c>
      <c r="C56" s="21"/>
      <c r="D56" s="61"/>
      <c r="E56" s="62"/>
      <c r="F56" s="62">
        <f>SUM(F50:F55)</f>
        <v>0</v>
      </c>
      <c r="G56" s="14"/>
      <c r="H56" s="13"/>
      <c r="I56" s="19"/>
      <c r="J56" s="37"/>
    </row>
    <row r="57" spans="1:10" ht="16.5" hidden="1" customHeight="1">
      <c r="A57" s="19"/>
      <c r="B57" s="13"/>
      <c r="C57" s="13"/>
      <c r="D57" s="61"/>
      <c r="E57" s="62"/>
      <c r="F57" s="62"/>
      <c r="G57" s="14"/>
      <c r="H57" s="13"/>
      <c r="I57" s="19"/>
      <c r="J57" s="37"/>
    </row>
    <row r="58" spans="1:10" hidden="1">
      <c r="A58" s="12">
        <v>5</v>
      </c>
      <c r="B58" s="7" t="s">
        <v>143</v>
      </c>
      <c r="C58" s="7"/>
      <c r="D58" s="61"/>
      <c r="E58" s="62"/>
      <c r="F58" s="62"/>
      <c r="G58" s="14"/>
      <c r="H58" s="13"/>
      <c r="I58" s="19"/>
      <c r="J58" s="37"/>
    </row>
    <row r="59" spans="1:10" ht="16.5" hidden="1" customHeight="1">
      <c r="A59" s="39" t="s">
        <v>8</v>
      </c>
      <c r="B59" s="40" t="s">
        <v>138</v>
      </c>
      <c r="C59" s="40"/>
      <c r="D59" s="61"/>
      <c r="E59" s="62">
        <v>1000</v>
      </c>
      <c r="F59" s="62">
        <f t="shared" ref="F59:F64" si="3">0.001*D59*E59</f>
        <v>0</v>
      </c>
      <c r="G59" s="14"/>
      <c r="H59" s="13" t="s">
        <v>10</v>
      </c>
      <c r="I59" s="19"/>
      <c r="J59" s="37"/>
    </row>
    <row r="60" spans="1:10" ht="16.5" hidden="1" customHeight="1">
      <c r="A60" s="39" t="s">
        <v>11</v>
      </c>
      <c r="B60" s="23" t="s">
        <v>17</v>
      </c>
      <c r="C60" s="23" t="s">
        <v>18</v>
      </c>
      <c r="D60" s="61"/>
      <c r="E60" s="62">
        <v>5</v>
      </c>
      <c r="F60" s="62">
        <f t="shared" si="3"/>
        <v>0</v>
      </c>
      <c r="G60" s="14"/>
      <c r="H60" s="13" t="s">
        <v>139</v>
      </c>
      <c r="I60" s="19"/>
      <c r="J60" s="37"/>
    </row>
    <row r="61" spans="1:10" ht="16.5" hidden="1" customHeight="1">
      <c r="A61" s="19" t="s">
        <v>13</v>
      </c>
      <c r="B61" s="41" t="s">
        <v>140</v>
      </c>
      <c r="C61" s="40" t="s">
        <v>15</v>
      </c>
      <c r="D61" s="61"/>
      <c r="E61" s="62">
        <v>6201</v>
      </c>
      <c r="F61" s="62">
        <f t="shared" si="3"/>
        <v>0</v>
      </c>
      <c r="G61" s="14"/>
      <c r="H61" s="13" t="s">
        <v>10</v>
      </c>
      <c r="I61" s="19"/>
      <c r="J61" s="37"/>
    </row>
    <row r="62" spans="1:10" ht="16.5" hidden="1" customHeight="1">
      <c r="A62" s="19" t="s">
        <v>16</v>
      </c>
      <c r="B62" s="41" t="s">
        <v>24</v>
      </c>
      <c r="C62" s="41" t="s">
        <v>27</v>
      </c>
      <c r="D62" s="67"/>
      <c r="E62" s="62">
        <v>15</v>
      </c>
      <c r="F62" s="62">
        <f t="shared" si="3"/>
        <v>0</v>
      </c>
      <c r="G62" s="14"/>
      <c r="H62" s="13" t="s">
        <v>139</v>
      </c>
      <c r="I62" s="19"/>
      <c r="J62" s="37"/>
    </row>
    <row r="63" spans="1:10" hidden="1">
      <c r="A63" s="19" t="s">
        <v>19</v>
      </c>
      <c r="B63" s="41" t="s">
        <v>141</v>
      </c>
      <c r="C63" s="41" t="s">
        <v>27</v>
      </c>
      <c r="D63" s="67"/>
      <c r="E63" s="62">
        <v>40</v>
      </c>
      <c r="F63" s="62">
        <f t="shared" si="3"/>
        <v>0</v>
      </c>
      <c r="G63" s="14"/>
      <c r="H63" s="13" t="s">
        <v>139</v>
      </c>
      <c r="I63" s="19"/>
      <c r="J63" s="37"/>
    </row>
    <row r="64" spans="1:10" ht="16.5" hidden="1" customHeight="1">
      <c r="A64" s="26" t="s">
        <v>21</v>
      </c>
      <c r="B64" s="27" t="s">
        <v>20</v>
      </c>
      <c r="C64" s="27"/>
      <c r="D64" s="63"/>
      <c r="E64" s="64"/>
      <c r="F64" s="64">
        <f t="shared" si="3"/>
        <v>0</v>
      </c>
      <c r="G64" s="29"/>
      <c r="H64" s="28"/>
      <c r="I64" s="19"/>
      <c r="J64" s="37"/>
    </row>
    <row r="65" spans="1:10" ht="16.5" hidden="1" customHeight="1">
      <c r="A65" s="19" t="s">
        <v>35</v>
      </c>
      <c r="B65" s="21" t="s">
        <v>144</v>
      </c>
      <c r="C65" s="21"/>
      <c r="D65" s="61"/>
      <c r="E65" s="62"/>
      <c r="F65" s="62">
        <f>SUM(F59:F64)</f>
        <v>0</v>
      </c>
      <c r="G65" s="14"/>
      <c r="H65" s="13"/>
      <c r="I65" s="19"/>
      <c r="J65" s="37"/>
    </row>
    <row r="66" spans="1:10" ht="16.5" hidden="1" customHeight="1">
      <c r="A66" s="19"/>
      <c r="B66" s="13"/>
      <c r="C66" s="13"/>
      <c r="D66" s="61"/>
      <c r="E66" s="62"/>
      <c r="F66" s="62"/>
      <c r="G66" s="14"/>
      <c r="H66" s="13"/>
      <c r="I66" s="19"/>
      <c r="J66" s="37"/>
    </row>
    <row r="67" spans="1:10" ht="16.5" hidden="1" customHeight="1">
      <c r="A67" s="12">
        <v>7</v>
      </c>
      <c r="B67" s="7" t="s">
        <v>145</v>
      </c>
      <c r="C67" s="7"/>
      <c r="D67" s="61"/>
      <c r="E67" s="62"/>
      <c r="F67" s="62"/>
      <c r="G67" s="14"/>
      <c r="H67" s="13"/>
      <c r="I67" s="19"/>
      <c r="J67" s="37"/>
    </row>
    <row r="68" spans="1:10" ht="16.5" hidden="1" customHeight="1">
      <c r="A68" s="19" t="s">
        <v>8</v>
      </c>
      <c r="B68" s="41" t="s">
        <v>140</v>
      </c>
      <c r="C68" s="41" t="s">
        <v>15</v>
      </c>
      <c r="D68" s="61"/>
      <c r="E68" s="62">
        <v>6200</v>
      </c>
      <c r="F68" s="62">
        <f>0.001*D68*E68</f>
        <v>0</v>
      </c>
      <c r="G68" s="14"/>
      <c r="H68" s="13" t="s">
        <v>10</v>
      </c>
      <c r="I68" s="19"/>
      <c r="J68" s="37"/>
    </row>
    <row r="69" spans="1:10" ht="16.5" hidden="1" customHeight="1">
      <c r="A69" s="19" t="s">
        <v>11</v>
      </c>
      <c r="B69" s="40" t="s">
        <v>24</v>
      </c>
      <c r="C69" s="40" t="s">
        <v>27</v>
      </c>
      <c r="D69" s="67"/>
      <c r="E69" s="62">
        <v>20</v>
      </c>
      <c r="F69" s="62">
        <f>0.001*D69*E69</f>
        <v>0</v>
      </c>
      <c r="G69" s="14"/>
      <c r="H69" s="13" t="s">
        <v>146</v>
      </c>
      <c r="I69" s="19"/>
      <c r="J69" s="37"/>
    </row>
    <row r="70" spans="1:10" hidden="1">
      <c r="A70" s="19" t="s">
        <v>13</v>
      </c>
      <c r="B70" s="20" t="s">
        <v>147</v>
      </c>
      <c r="C70" s="20" t="s">
        <v>27</v>
      </c>
      <c r="D70" s="67"/>
      <c r="E70" s="62">
        <v>40</v>
      </c>
      <c r="F70" s="62">
        <f>0.001*D70*E70</f>
        <v>0</v>
      </c>
      <c r="G70" s="14"/>
      <c r="H70" s="13" t="s">
        <v>146</v>
      </c>
      <c r="I70" s="19"/>
      <c r="J70" s="37"/>
    </row>
    <row r="71" spans="1:10" ht="16.5" hidden="1" customHeight="1">
      <c r="A71" s="19" t="s">
        <v>16</v>
      </c>
      <c r="B71" s="20" t="s">
        <v>57</v>
      </c>
      <c r="C71" s="20" t="s">
        <v>27</v>
      </c>
      <c r="D71" s="61"/>
      <c r="E71" s="62">
        <v>450</v>
      </c>
      <c r="F71" s="62">
        <f>0.001*D71*E71</f>
        <v>0</v>
      </c>
      <c r="G71" s="14"/>
      <c r="H71" s="13" t="s">
        <v>10</v>
      </c>
      <c r="I71" s="19"/>
      <c r="J71" s="37"/>
    </row>
    <row r="72" spans="1:10" ht="16.5" hidden="1" customHeight="1">
      <c r="A72" s="26" t="s">
        <v>16</v>
      </c>
      <c r="B72" s="27" t="s">
        <v>20</v>
      </c>
      <c r="C72" s="27"/>
      <c r="D72" s="63"/>
      <c r="E72" s="64"/>
      <c r="F72" s="64">
        <f>0.001*D72*E72</f>
        <v>0</v>
      </c>
      <c r="G72" s="29"/>
      <c r="H72" s="28"/>
      <c r="I72" s="19"/>
      <c r="J72" s="37"/>
    </row>
    <row r="73" spans="1:10" ht="16.5" hidden="1" customHeight="1">
      <c r="A73" s="19" t="s">
        <v>19</v>
      </c>
      <c r="B73" s="39" t="s">
        <v>148</v>
      </c>
      <c r="C73" s="19"/>
      <c r="D73" s="61"/>
      <c r="E73" s="62"/>
      <c r="F73" s="62">
        <f>SUM(F68:F72)</f>
        <v>0</v>
      </c>
      <c r="G73" s="14"/>
      <c r="H73" s="13"/>
      <c r="I73" s="19"/>
      <c r="J73" s="37"/>
    </row>
    <row r="74" spans="1:10" ht="16.5" customHeight="1">
      <c r="A74" s="19"/>
      <c r="B74" s="13"/>
      <c r="C74" s="13"/>
      <c r="D74" s="61"/>
      <c r="E74" s="62"/>
      <c r="F74" s="62"/>
      <c r="G74" s="14"/>
      <c r="H74" s="13"/>
      <c r="I74" s="19"/>
      <c r="J74" s="37"/>
    </row>
    <row r="75" spans="1:10" ht="16.5" customHeight="1">
      <c r="A75" s="12">
        <v>8</v>
      </c>
      <c r="B75" s="7" t="s">
        <v>58</v>
      </c>
      <c r="C75" s="7"/>
      <c r="D75" s="61"/>
      <c r="E75" s="62"/>
      <c r="F75" s="62"/>
      <c r="G75" s="14"/>
      <c r="H75" s="13"/>
      <c r="I75" s="19"/>
      <c r="J75" s="37"/>
    </row>
    <row r="76" spans="1:10" ht="16.5" customHeight="1">
      <c r="A76" s="19" t="s">
        <v>8</v>
      </c>
      <c r="B76" s="23" t="s">
        <v>163</v>
      </c>
      <c r="C76" s="20"/>
      <c r="D76" s="61">
        <v>1</v>
      </c>
      <c r="E76" s="62">
        <v>20000</v>
      </c>
      <c r="F76" s="62">
        <f t="shared" ref="F76:F81" si="4">0.001*D76*E76</f>
        <v>20</v>
      </c>
      <c r="G76" s="14"/>
      <c r="H76" s="13" t="s">
        <v>10</v>
      </c>
      <c r="I76" s="19"/>
      <c r="J76" s="37"/>
    </row>
    <row r="77" spans="1:10" ht="16.5" customHeight="1">
      <c r="A77" s="19" t="s">
        <v>11</v>
      </c>
      <c r="B77" s="20" t="s">
        <v>59</v>
      </c>
      <c r="C77" s="20"/>
      <c r="D77" s="191">
        <v>0</v>
      </c>
      <c r="E77" s="239">
        <v>20000</v>
      </c>
      <c r="F77" s="239">
        <f t="shared" si="4"/>
        <v>0</v>
      </c>
      <c r="G77" s="240"/>
      <c r="H77" s="142" t="s">
        <v>245</v>
      </c>
      <c r="I77" s="19"/>
      <c r="J77" s="37"/>
    </row>
    <row r="78" spans="1:10" ht="16.5" customHeight="1">
      <c r="A78" s="19" t="s">
        <v>13</v>
      </c>
      <c r="B78" s="20" t="s">
        <v>60</v>
      </c>
      <c r="C78" s="20"/>
      <c r="D78" s="61">
        <v>0</v>
      </c>
      <c r="E78" s="62">
        <v>5000</v>
      </c>
      <c r="F78" s="62">
        <f t="shared" si="4"/>
        <v>0</v>
      </c>
      <c r="G78" s="14"/>
      <c r="H78" s="142" t="s">
        <v>378</v>
      </c>
      <c r="I78" s="19"/>
      <c r="J78" s="37"/>
    </row>
    <row r="79" spans="1:10" ht="16.5" customHeight="1">
      <c r="A79" s="39" t="s">
        <v>16</v>
      </c>
      <c r="B79" s="23" t="s">
        <v>61</v>
      </c>
      <c r="C79" s="23" t="s">
        <v>15</v>
      </c>
      <c r="D79" s="61">
        <v>0.5</v>
      </c>
      <c r="E79" s="62">
        <v>60000</v>
      </c>
      <c r="F79" s="62">
        <f t="shared" si="4"/>
        <v>30</v>
      </c>
      <c r="G79" s="14"/>
      <c r="H79" s="13" t="s">
        <v>10</v>
      </c>
      <c r="I79" s="19"/>
      <c r="J79" s="37"/>
    </row>
    <row r="80" spans="1:10" ht="16.5" customHeight="1">
      <c r="A80" s="39" t="s">
        <v>19</v>
      </c>
      <c r="B80" s="20" t="s">
        <v>62</v>
      </c>
      <c r="C80" s="20"/>
      <c r="D80" s="61">
        <v>1</v>
      </c>
      <c r="E80" s="62">
        <v>20000</v>
      </c>
      <c r="F80" s="62">
        <f t="shared" si="4"/>
        <v>20</v>
      </c>
      <c r="G80" s="14"/>
      <c r="H80" s="13" t="s">
        <v>10</v>
      </c>
      <c r="I80" s="19"/>
      <c r="J80" s="37"/>
    </row>
    <row r="81" spans="1:10" ht="16.5" customHeight="1">
      <c r="A81" s="42" t="s">
        <v>21</v>
      </c>
      <c r="B81" s="27" t="s">
        <v>149</v>
      </c>
      <c r="C81" s="27"/>
      <c r="D81" s="63">
        <v>1</v>
      </c>
      <c r="E81" s="64">
        <v>7500</v>
      </c>
      <c r="F81" s="64">
        <f t="shared" si="4"/>
        <v>7.5</v>
      </c>
      <c r="G81" s="29"/>
      <c r="H81" s="28" t="s">
        <v>10</v>
      </c>
      <c r="I81" s="19"/>
      <c r="J81" s="37"/>
    </row>
    <row r="82" spans="1:10" ht="16.5" customHeight="1">
      <c r="A82" s="39" t="s">
        <v>35</v>
      </c>
      <c r="B82" s="39" t="s">
        <v>63</v>
      </c>
      <c r="C82" s="13"/>
      <c r="D82" s="61"/>
      <c r="E82" s="62"/>
      <c r="F82" s="62">
        <f>SUM(F76:F81)</f>
        <v>77.5</v>
      </c>
      <c r="G82" s="14"/>
      <c r="H82" s="13"/>
      <c r="I82" s="19"/>
      <c r="J82" s="37"/>
    </row>
    <row r="83" spans="1:10" ht="16.5" customHeight="1">
      <c r="A83" s="19"/>
      <c r="B83" s="13"/>
      <c r="C83" s="13"/>
      <c r="D83" s="61"/>
      <c r="E83" s="62"/>
      <c r="F83" s="62"/>
      <c r="G83" s="14"/>
      <c r="H83" s="13"/>
      <c r="I83" s="19"/>
      <c r="J83" s="37"/>
    </row>
    <row r="84" spans="1:10" ht="16.5" customHeight="1">
      <c r="A84" s="12">
        <v>9</v>
      </c>
      <c r="B84" s="7" t="s">
        <v>247</v>
      </c>
      <c r="C84" s="7"/>
      <c r="D84" s="61"/>
      <c r="E84" s="62"/>
      <c r="F84" s="62"/>
      <c r="G84" s="14"/>
      <c r="H84" s="13"/>
      <c r="I84" s="19"/>
      <c r="J84" s="37"/>
    </row>
    <row r="85" spans="1:10" ht="16.5" customHeight="1">
      <c r="A85" s="19" t="s">
        <v>8</v>
      </c>
      <c r="B85" s="172" t="s">
        <v>248</v>
      </c>
      <c r="C85" s="41" t="s">
        <v>64</v>
      </c>
      <c r="D85" s="191">
        <v>2</v>
      </c>
      <c r="E85" s="239">
        <v>50000</v>
      </c>
      <c r="F85" s="239">
        <f t="shared" ref="F85:F90" si="5">0.001*D85*E85</f>
        <v>100</v>
      </c>
      <c r="G85" s="240"/>
      <c r="H85" s="142" t="s">
        <v>10</v>
      </c>
      <c r="I85" s="19"/>
      <c r="J85" s="37"/>
    </row>
    <row r="86" spans="1:10" ht="16.5" customHeight="1">
      <c r="A86" s="19" t="s">
        <v>11</v>
      </c>
      <c r="B86" s="41" t="s">
        <v>65</v>
      </c>
      <c r="C86" s="41" t="s">
        <v>64</v>
      </c>
      <c r="D86" s="191">
        <v>0.5</v>
      </c>
      <c r="E86" s="239">
        <v>75000</v>
      </c>
      <c r="F86" s="239">
        <f t="shared" si="5"/>
        <v>37.5</v>
      </c>
      <c r="G86" s="240"/>
      <c r="H86" s="142" t="s">
        <v>10</v>
      </c>
      <c r="I86" s="19"/>
      <c r="J86" s="37"/>
    </row>
    <row r="87" spans="1:10" ht="16.5" customHeight="1">
      <c r="A87" s="19" t="s">
        <v>13</v>
      </c>
      <c r="B87" s="172" t="s">
        <v>249</v>
      </c>
      <c r="C87" s="41"/>
      <c r="D87" s="191">
        <v>1</v>
      </c>
      <c r="E87" s="239">
        <v>50000</v>
      </c>
      <c r="F87" s="239">
        <f t="shared" si="5"/>
        <v>50</v>
      </c>
      <c r="G87" s="240"/>
      <c r="H87" s="142" t="s">
        <v>10</v>
      </c>
      <c r="I87" s="19"/>
      <c r="J87" s="37"/>
    </row>
    <row r="88" spans="1:10">
      <c r="A88" s="19" t="s">
        <v>16</v>
      </c>
      <c r="B88" s="172" t="s">
        <v>250</v>
      </c>
      <c r="C88" s="41"/>
      <c r="D88" s="191">
        <v>1</v>
      </c>
      <c r="E88" s="239">
        <v>25000</v>
      </c>
      <c r="F88" s="239">
        <f t="shared" si="5"/>
        <v>25</v>
      </c>
      <c r="G88" s="240"/>
      <c r="H88" s="142" t="s">
        <v>10</v>
      </c>
      <c r="I88" s="19"/>
      <c r="J88" s="37"/>
    </row>
    <row r="89" spans="1:10" ht="16.5" customHeight="1">
      <c r="A89" s="19" t="s">
        <v>19</v>
      </c>
      <c r="B89" s="41" t="s">
        <v>66</v>
      </c>
      <c r="C89" s="41"/>
      <c r="D89" s="191">
        <v>1</v>
      </c>
      <c r="E89" s="239">
        <v>25000</v>
      </c>
      <c r="F89" s="239">
        <f t="shared" si="5"/>
        <v>25</v>
      </c>
      <c r="G89" s="240"/>
      <c r="H89" s="142" t="s">
        <v>10</v>
      </c>
      <c r="I89" s="19"/>
      <c r="J89" s="37"/>
    </row>
    <row r="90" spans="1:10" ht="16.5" customHeight="1">
      <c r="A90" s="26" t="s">
        <v>21</v>
      </c>
      <c r="B90" s="192" t="s">
        <v>251</v>
      </c>
      <c r="C90" s="27"/>
      <c r="D90" s="184">
        <v>1</v>
      </c>
      <c r="E90" s="242">
        <v>50000</v>
      </c>
      <c r="F90" s="242">
        <f t="shared" si="5"/>
        <v>50</v>
      </c>
      <c r="G90" s="243"/>
      <c r="H90" s="238" t="s">
        <v>273</v>
      </c>
      <c r="I90" s="19"/>
      <c r="J90" s="37"/>
    </row>
    <row r="91" spans="1:10" ht="16.5" customHeight="1">
      <c r="A91" s="19" t="s">
        <v>35</v>
      </c>
      <c r="B91" s="185" t="s">
        <v>322</v>
      </c>
      <c r="C91" s="21"/>
      <c r="D91" s="61"/>
      <c r="E91" s="62"/>
      <c r="F91" s="62">
        <f>SUM(F85:F90)</f>
        <v>287.5</v>
      </c>
      <c r="G91" s="14"/>
      <c r="H91" s="13"/>
      <c r="I91" s="19"/>
      <c r="J91" s="37"/>
    </row>
    <row r="92" spans="1:10" ht="16.5" customHeight="1">
      <c r="A92" s="19"/>
      <c r="B92" s="13"/>
      <c r="C92" s="13"/>
      <c r="D92" s="61"/>
      <c r="E92" s="62"/>
      <c r="F92" s="62"/>
      <c r="G92" s="14"/>
      <c r="H92" s="13"/>
      <c r="I92" s="19"/>
      <c r="J92" s="37"/>
    </row>
    <row r="93" spans="1:10" ht="16.5" customHeight="1">
      <c r="A93" s="12">
        <v>10</v>
      </c>
      <c r="B93" s="7" t="s">
        <v>67</v>
      </c>
      <c r="C93" s="7"/>
      <c r="D93" s="61"/>
      <c r="E93" s="62"/>
      <c r="F93" s="62"/>
      <c r="G93" s="14"/>
      <c r="H93" s="13"/>
      <c r="I93" s="19"/>
      <c r="J93" s="37"/>
    </row>
    <row r="94" spans="1:10" ht="16.5" customHeight="1">
      <c r="A94" s="19" t="s">
        <v>8</v>
      </c>
      <c r="B94" s="41" t="s">
        <v>68</v>
      </c>
      <c r="C94" s="41"/>
      <c r="D94" s="69">
        <v>1</v>
      </c>
      <c r="E94" s="66">
        <v>5000</v>
      </c>
      <c r="F94" s="62">
        <f>0.001*D94*E94</f>
        <v>5</v>
      </c>
      <c r="G94" s="14"/>
      <c r="H94" s="13" t="s">
        <v>10</v>
      </c>
      <c r="I94" s="19"/>
      <c r="J94" s="37"/>
    </row>
    <row r="95" spans="1:10">
      <c r="A95" s="19" t="s">
        <v>11</v>
      </c>
      <c r="B95" s="41" t="s">
        <v>69</v>
      </c>
      <c r="C95" s="41"/>
      <c r="D95" s="69">
        <v>1</v>
      </c>
      <c r="E95" s="66"/>
      <c r="F95" s="62">
        <f>0.001*D95*E95</f>
        <v>0</v>
      </c>
      <c r="G95" s="14"/>
      <c r="I95" s="19"/>
      <c r="J95" s="37"/>
    </row>
    <row r="96" spans="1:10" ht="16.5" customHeight="1">
      <c r="A96" s="19" t="s">
        <v>13</v>
      </c>
      <c r="B96" s="41" t="s">
        <v>70</v>
      </c>
      <c r="C96" s="41"/>
      <c r="D96" s="69">
        <v>1</v>
      </c>
      <c r="E96" s="66">
        <v>5000</v>
      </c>
      <c r="F96" s="62">
        <f>0.001*D96*E96</f>
        <v>5</v>
      </c>
      <c r="G96" s="14"/>
      <c r="H96" s="13" t="s">
        <v>10</v>
      </c>
      <c r="I96" s="19"/>
      <c r="J96" s="37"/>
    </row>
    <row r="97" spans="1:10" ht="15.75" customHeight="1">
      <c r="A97" s="19" t="s">
        <v>16</v>
      </c>
      <c r="B97" s="41" t="s">
        <v>71</v>
      </c>
      <c r="C97" s="41"/>
      <c r="D97" s="69">
        <v>1</v>
      </c>
      <c r="E97" s="66">
        <v>10000</v>
      </c>
      <c r="F97" s="62">
        <f>0.001*D97*E97</f>
        <v>10</v>
      </c>
      <c r="G97" s="14"/>
      <c r="H97" s="13" t="s">
        <v>10</v>
      </c>
      <c r="I97" s="19"/>
      <c r="J97" s="37"/>
    </row>
    <row r="98" spans="1:10" ht="16.5" customHeight="1">
      <c r="A98" s="26" t="s">
        <v>19</v>
      </c>
      <c r="B98" s="27" t="s">
        <v>20</v>
      </c>
      <c r="C98" s="27"/>
      <c r="D98" s="63"/>
      <c r="E98" s="64"/>
      <c r="F98" s="64">
        <f>0.001*D98*E98</f>
        <v>0</v>
      </c>
      <c r="G98" s="29"/>
      <c r="H98" s="28"/>
      <c r="I98" s="19"/>
      <c r="J98" s="37"/>
    </row>
    <row r="99" spans="1:10" ht="16.5" customHeight="1">
      <c r="A99" s="19" t="s">
        <v>21</v>
      </c>
      <c r="B99" s="39" t="s">
        <v>72</v>
      </c>
      <c r="C99" s="39"/>
      <c r="D99" s="61"/>
      <c r="E99" s="62"/>
      <c r="F99" s="62">
        <f>SUM(F94:F98)</f>
        <v>20</v>
      </c>
      <c r="G99" s="14"/>
      <c r="H99" s="13"/>
      <c r="I99" s="19"/>
      <c r="J99" s="37"/>
    </row>
    <row r="100" spans="1:10" ht="16.5" customHeight="1">
      <c r="A100" s="13"/>
      <c r="B100" s="13"/>
      <c r="C100" s="13"/>
      <c r="D100" s="61"/>
      <c r="E100" s="62"/>
      <c r="F100" s="62"/>
      <c r="G100" s="14"/>
      <c r="H100" s="13"/>
      <c r="I100" s="19"/>
      <c r="J100" s="37"/>
    </row>
    <row r="101" spans="1:10" ht="16.5" customHeight="1">
      <c r="A101" s="12">
        <v>11</v>
      </c>
      <c r="B101" s="7" t="s">
        <v>73</v>
      </c>
      <c r="C101" s="7"/>
      <c r="D101" s="61"/>
      <c r="E101" s="62"/>
      <c r="F101" s="62"/>
      <c r="G101" s="14"/>
      <c r="H101" s="13"/>
      <c r="I101" s="19"/>
      <c r="J101" s="37"/>
    </row>
    <row r="102" spans="1:10" ht="16.5" customHeight="1">
      <c r="A102" s="19" t="s">
        <v>8</v>
      </c>
      <c r="B102" s="20" t="s">
        <v>14</v>
      </c>
      <c r="C102" s="20" t="s">
        <v>15</v>
      </c>
      <c r="D102" s="191">
        <v>0.5</v>
      </c>
      <c r="E102" s="239">
        <v>8000</v>
      </c>
      <c r="F102" s="239">
        <f>0.001*D102*E102</f>
        <v>4</v>
      </c>
      <c r="G102" s="240"/>
      <c r="H102" s="142" t="s">
        <v>10</v>
      </c>
      <c r="I102" s="19"/>
      <c r="J102" s="37"/>
    </row>
    <row r="103" spans="1:10" ht="16.5" customHeight="1">
      <c r="A103" s="19" t="s">
        <v>11</v>
      </c>
      <c r="B103" s="20" t="s">
        <v>74</v>
      </c>
      <c r="C103" s="20"/>
      <c r="D103" s="191">
        <v>1</v>
      </c>
      <c r="E103" s="239">
        <f>'Interconnect Costs'!G6</f>
        <v>33000</v>
      </c>
      <c r="F103" s="239">
        <f>0.001*D103*E103</f>
        <v>33</v>
      </c>
      <c r="G103" s="240"/>
      <c r="H103" s="142" t="s">
        <v>274</v>
      </c>
      <c r="I103" s="19"/>
      <c r="J103" s="37"/>
    </row>
    <row r="104" spans="1:10" ht="16.5" customHeight="1">
      <c r="A104" s="19" t="s">
        <v>13</v>
      </c>
      <c r="B104" s="20" t="s">
        <v>75</v>
      </c>
      <c r="C104" s="20"/>
      <c r="D104" s="191">
        <v>1</v>
      </c>
      <c r="E104" s="239">
        <v>10000</v>
      </c>
      <c r="F104" s="239">
        <f>0.001*D104*E104</f>
        <v>10</v>
      </c>
      <c r="G104" s="240"/>
      <c r="H104" s="142" t="s">
        <v>10</v>
      </c>
      <c r="I104" s="19"/>
      <c r="J104" s="37"/>
    </row>
    <row r="105" spans="1:10" ht="29.25" customHeight="1">
      <c r="A105" s="19" t="s">
        <v>13</v>
      </c>
      <c r="B105" s="20" t="s">
        <v>76</v>
      </c>
      <c r="C105" s="20"/>
      <c r="D105" s="191">
        <v>1</v>
      </c>
      <c r="E105" s="239">
        <f>'Interconnect Costs'!G7+'Interconnect Costs'!G8+'Interconnect Costs'!G9</f>
        <v>50000</v>
      </c>
      <c r="F105" s="239">
        <f>0.001*D105*E105</f>
        <v>50</v>
      </c>
      <c r="G105" s="240"/>
      <c r="H105" s="142" t="s">
        <v>267</v>
      </c>
      <c r="I105" s="19"/>
      <c r="J105" s="37"/>
    </row>
    <row r="106" spans="1:10" ht="16.5" customHeight="1">
      <c r="A106" s="26" t="s">
        <v>16</v>
      </c>
      <c r="B106" s="192" t="s">
        <v>248</v>
      </c>
      <c r="C106" s="27"/>
      <c r="D106" s="184">
        <v>1</v>
      </c>
      <c r="E106" s="242">
        <v>20000</v>
      </c>
      <c r="F106" s="242">
        <f>0.001*D106*E106</f>
        <v>20</v>
      </c>
      <c r="G106" s="243"/>
      <c r="H106" s="238" t="s">
        <v>10</v>
      </c>
      <c r="I106" s="19"/>
      <c r="J106" s="37"/>
    </row>
    <row r="107" spans="1:10">
      <c r="A107" s="19" t="s">
        <v>21</v>
      </c>
      <c r="B107" s="19" t="s">
        <v>77</v>
      </c>
      <c r="C107" s="19"/>
      <c r="D107" s="191"/>
      <c r="E107" s="239"/>
      <c r="F107" s="239">
        <f>SUM(F102:F106)</f>
        <v>117</v>
      </c>
      <c r="G107" s="240"/>
      <c r="H107" s="142"/>
      <c r="I107" s="19"/>
      <c r="J107" s="37"/>
    </row>
    <row r="108" spans="1:10" ht="16.5" customHeight="1">
      <c r="A108" s="13"/>
      <c r="B108" s="13"/>
      <c r="C108" s="13"/>
      <c r="D108" s="61"/>
      <c r="E108" s="62"/>
      <c r="F108" s="62"/>
      <c r="G108" s="14"/>
      <c r="H108" s="13"/>
      <c r="I108" s="19"/>
      <c r="J108" s="37"/>
    </row>
    <row r="109" spans="1:10" ht="16.5" customHeight="1">
      <c r="A109" s="12">
        <v>12</v>
      </c>
      <c r="B109" s="7" t="s">
        <v>78</v>
      </c>
      <c r="C109" s="7"/>
      <c r="D109" s="61"/>
      <c r="E109" s="62"/>
      <c r="F109" s="62"/>
      <c r="G109" s="14"/>
      <c r="H109" s="13"/>
      <c r="I109" s="19"/>
      <c r="J109" s="37"/>
    </row>
    <row r="110" spans="1:10" ht="16.5" customHeight="1">
      <c r="A110" s="19" t="s">
        <v>8</v>
      </c>
      <c r="B110" s="20" t="s">
        <v>79</v>
      </c>
      <c r="C110" s="20"/>
      <c r="D110" s="61">
        <v>1</v>
      </c>
      <c r="E110" s="62">
        <f>F130*1000*0.08</f>
        <v>191985.22693264927</v>
      </c>
      <c r="F110" s="62">
        <f t="shared" ref="F110:F115" si="6">0.001*D110*E110</f>
        <v>191.98522693264928</v>
      </c>
      <c r="G110" s="14"/>
      <c r="H110" s="36" t="s">
        <v>164</v>
      </c>
      <c r="I110" s="19"/>
      <c r="J110" s="37"/>
    </row>
    <row r="111" spans="1:10">
      <c r="A111" s="19" t="s">
        <v>11</v>
      </c>
      <c r="B111" s="20" t="s">
        <v>80</v>
      </c>
      <c r="C111" s="20"/>
      <c r="D111" s="61">
        <v>1</v>
      </c>
      <c r="E111" s="62">
        <v>25000</v>
      </c>
      <c r="F111" s="62">
        <f t="shared" si="6"/>
        <v>25</v>
      </c>
      <c r="G111" s="14"/>
      <c r="H111" s="13" t="s">
        <v>10</v>
      </c>
      <c r="I111" s="19"/>
      <c r="J111" s="37"/>
    </row>
    <row r="112" spans="1:10" ht="16.5" customHeight="1">
      <c r="A112" s="19" t="s">
        <v>13</v>
      </c>
      <c r="B112" s="20" t="s">
        <v>81</v>
      </c>
      <c r="C112" s="20"/>
      <c r="D112" s="61">
        <v>1</v>
      </c>
      <c r="E112" s="62">
        <v>20000</v>
      </c>
      <c r="F112" s="62">
        <f t="shared" si="6"/>
        <v>20</v>
      </c>
      <c r="G112" s="14"/>
      <c r="H112" s="13" t="s">
        <v>82</v>
      </c>
      <c r="I112" s="19"/>
      <c r="J112" s="37"/>
    </row>
    <row r="113" spans="1:10" ht="16.5" customHeight="1">
      <c r="A113" s="19" t="s">
        <v>16</v>
      </c>
      <c r="B113" s="20" t="s">
        <v>83</v>
      </c>
      <c r="C113" s="20"/>
      <c r="D113" s="61">
        <v>1</v>
      </c>
      <c r="E113" s="62">
        <v>35000</v>
      </c>
      <c r="F113" s="62">
        <f t="shared" si="6"/>
        <v>35</v>
      </c>
      <c r="G113" s="14"/>
      <c r="H113" s="13" t="s">
        <v>91</v>
      </c>
      <c r="I113" s="19"/>
      <c r="J113" s="37"/>
    </row>
    <row r="114" spans="1:10">
      <c r="A114" s="19" t="s">
        <v>19</v>
      </c>
      <c r="B114" s="20" t="s">
        <v>84</v>
      </c>
      <c r="C114" s="20"/>
      <c r="D114" s="61">
        <v>1</v>
      </c>
      <c r="E114" s="62">
        <v>100000</v>
      </c>
      <c r="F114" s="62">
        <f t="shared" si="6"/>
        <v>100</v>
      </c>
      <c r="G114" s="14"/>
      <c r="H114" s="142" t="s">
        <v>10</v>
      </c>
      <c r="I114" s="19"/>
      <c r="J114" s="37"/>
    </row>
    <row r="115" spans="1:10" ht="16.5" customHeight="1">
      <c r="A115" s="26" t="s">
        <v>21</v>
      </c>
      <c r="B115" s="27" t="s">
        <v>20</v>
      </c>
      <c r="C115" s="27"/>
      <c r="D115" s="63"/>
      <c r="E115" s="64"/>
      <c r="F115" s="64">
        <f t="shared" si="6"/>
        <v>0</v>
      </c>
      <c r="G115" s="29"/>
      <c r="H115" s="28"/>
      <c r="I115" s="19"/>
      <c r="J115" s="37"/>
    </row>
    <row r="116" spans="1:10" ht="16.5" customHeight="1">
      <c r="A116" s="19" t="s">
        <v>35</v>
      </c>
      <c r="B116" s="19" t="s">
        <v>85</v>
      </c>
      <c r="C116" s="19"/>
      <c r="D116" s="61"/>
      <c r="E116" s="62"/>
      <c r="F116" s="62">
        <f>SUM(F110:F115)</f>
        <v>371.98522693264931</v>
      </c>
      <c r="G116" s="14"/>
      <c r="H116" s="13"/>
      <c r="I116" s="19"/>
      <c r="J116" s="37"/>
    </row>
    <row r="117" spans="1:10" ht="16.5" customHeight="1">
      <c r="A117" s="13"/>
      <c r="B117" s="13"/>
      <c r="C117" s="13"/>
      <c r="D117" s="61"/>
      <c r="E117" s="62"/>
      <c r="F117" s="62"/>
      <c r="G117" s="14"/>
      <c r="H117" s="13"/>
      <c r="I117" s="19"/>
      <c r="J117" s="37"/>
    </row>
    <row r="118" spans="1:10" ht="16.5" customHeight="1">
      <c r="A118" s="12"/>
      <c r="B118" s="7" t="s">
        <v>86</v>
      </c>
      <c r="C118" s="7"/>
      <c r="D118" s="61"/>
      <c r="E118" s="62"/>
      <c r="F118" s="62"/>
      <c r="G118" s="14"/>
      <c r="H118" s="13"/>
      <c r="I118" s="19"/>
      <c r="J118" s="37"/>
    </row>
    <row r="119" spans="1:10" ht="16.5" customHeight="1">
      <c r="A119" s="12">
        <f>A$2</f>
        <v>1</v>
      </c>
      <c r="B119" s="13" t="str">
        <f>B$2</f>
        <v>General</v>
      </c>
      <c r="C119" s="13"/>
      <c r="D119" s="61"/>
      <c r="E119" s="62"/>
      <c r="F119" s="62">
        <f>F$8</f>
        <v>80</v>
      </c>
      <c r="G119" s="14"/>
      <c r="H119" s="13"/>
      <c r="I119" s="19"/>
      <c r="J119" s="37"/>
    </row>
    <row r="120" spans="1:10" ht="16.5" customHeight="1">
      <c r="A120" s="12">
        <f>A$10</f>
        <v>2</v>
      </c>
      <c r="B120" s="13" t="str">
        <f>B$10</f>
        <v>Powerhouse/Intake</v>
      </c>
      <c r="C120" s="13"/>
      <c r="D120" s="61"/>
      <c r="E120" s="62"/>
      <c r="F120" s="62">
        <f>F$30</f>
        <v>837.58602465811578</v>
      </c>
      <c r="G120" s="14"/>
      <c r="H120" s="13"/>
      <c r="I120" s="19"/>
      <c r="J120" s="37"/>
    </row>
    <row r="121" spans="1:10" ht="16.5" customHeight="1">
      <c r="A121" s="12">
        <f>A$32</f>
        <v>3</v>
      </c>
      <c r="B121" s="13" t="str">
        <f>B$32</f>
        <v>Equipment</v>
      </c>
      <c r="C121" s="13"/>
      <c r="D121" s="61"/>
      <c r="E121" s="62"/>
      <c r="F121" s="62">
        <f>F$39</f>
        <v>980.22931200000005</v>
      </c>
      <c r="G121" s="14"/>
      <c r="H121" s="13"/>
      <c r="I121" s="19"/>
      <c r="J121" s="37"/>
    </row>
    <row r="122" spans="1:10" ht="16.5" hidden="1" customHeight="1">
      <c r="A122" s="43">
        <f>A$41</f>
        <v>4</v>
      </c>
      <c r="B122" s="11" t="str">
        <f>B$41</f>
        <v xml:space="preserve">Spillway </v>
      </c>
      <c r="E122" s="66"/>
      <c r="F122" s="66">
        <f>F$47</f>
        <v>0</v>
      </c>
      <c r="G122" s="44"/>
      <c r="I122" s="19"/>
      <c r="J122" s="37"/>
    </row>
    <row r="123" spans="1:10" ht="16.5" hidden="1" customHeight="1">
      <c r="A123" s="43">
        <f>A$49</f>
        <v>5</v>
      </c>
      <c r="B123" s="11" t="str">
        <f>B$49</f>
        <v>East (left) Dike</v>
      </c>
      <c r="E123" s="66"/>
      <c r="F123" s="66">
        <f>F$56</f>
        <v>0</v>
      </c>
      <c r="G123" s="33"/>
      <c r="I123" s="19"/>
      <c r="J123" s="37"/>
    </row>
    <row r="124" spans="1:10" ht="16.5" hidden="1" customHeight="1">
      <c r="A124" s="43">
        <f>A$58</f>
        <v>5</v>
      </c>
      <c r="B124" s="11" t="str">
        <f>B$58</f>
        <v>West (right) Dike</v>
      </c>
      <c r="E124" s="66"/>
      <c r="F124" s="66">
        <f>F$65</f>
        <v>0</v>
      </c>
      <c r="G124" s="33"/>
      <c r="I124" s="19"/>
      <c r="J124" s="37"/>
    </row>
    <row r="125" spans="1:10" ht="16.5" hidden="1" customHeight="1">
      <c r="A125" s="43">
        <f>A$67</f>
        <v>7</v>
      </c>
      <c r="B125" s="11" t="str">
        <f>B$67</f>
        <v>Canal</v>
      </c>
      <c r="E125" s="66"/>
      <c r="F125" s="66">
        <f>F$73</f>
        <v>0</v>
      </c>
      <c r="G125" s="33"/>
      <c r="I125" s="19"/>
      <c r="J125" s="37"/>
    </row>
    <row r="126" spans="1:10" ht="16.5" customHeight="1">
      <c r="A126" s="43">
        <f>A$75</f>
        <v>8</v>
      </c>
      <c r="B126" s="11" t="str">
        <f>B$75</f>
        <v>PM&amp;E Measures</v>
      </c>
      <c r="E126" s="66"/>
      <c r="F126" s="66">
        <f>F$82</f>
        <v>77.5</v>
      </c>
      <c r="G126" s="33"/>
      <c r="I126" s="19"/>
      <c r="J126" s="37"/>
    </row>
    <row r="127" spans="1:10" ht="16.5" customHeight="1">
      <c r="A127" s="43">
        <f>A$84</f>
        <v>9</v>
      </c>
      <c r="B127" s="176" t="s">
        <v>247</v>
      </c>
      <c r="E127" s="66"/>
      <c r="F127" s="66">
        <f>F$91</f>
        <v>287.5</v>
      </c>
      <c r="G127" s="33"/>
      <c r="I127" s="19"/>
      <c r="J127" s="37"/>
    </row>
    <row r="128" spans="1:10" ht="16.5" customHeight="1">
      <c r="A128" s="43">
        <f>A$93</f>
        <v>10</v>
      </c>
      <c r="B128" s="11" t="str">
        <f>B$93</f>
        <v>Land &amp; Land Rights</v>
      </c>
      <c r="E128" s="66"/>
      <c r="F128" s="66">
        <f>F$99</f>
        <v>20</v>
      </c>
      <c r="G128" s="33"/>
      <c r="I128" s="19"/>
      <c r="J128" s="37"/>
    </row>
    <row r="129" spans="1:10" ht="16.5" customHeight="1">
      <c r="A129" s="45">
        <f>A$101</f>
        <v>11</v>
      </c>
      <c r="B129" s="46" t="str">
        <f>B$101</f>
        <v>Interconnection</v>
      </c>
      <c r="C129" s="46"/>
      <c r="D129" s="70"/>
      <c r="E129" s="71"/>
      <c r="F129" s="71">
        <f>F$107</f>
        <v>117</v>
      </c>
      <c r="G129" s="47"/>
      <c r="H129" s="46"/>
      <c r="I129" s="19"/>
      <c r="J129" s="37"/>
    </row>
    <row r="130" spans="1:10" ht="16.5" customHeight="1">
      <c r="A130" s="43"/>
      <c r="B130" s="48" t="s">
        <v>87</v>
      </c>
      <c r="C130" s="48"/>
      <c r="E130" s="66"/>
      <c r="F130" s="66">
        <f>SUM(F119:F129)</f>
        <v>2399.8153366581159</v>
      </c>
      <c r="G130" s="33"/>
      <c r="I130" s="19"/>
      <c r="J130" s="37"/>
    </row>
    <row r="131" spans="1:10" ht="16.5" customHeight="1">
      <c r="A131" s="43"/>
      <c r="B131" s="48"/>
      <c r="C131" s="48"/>
      <c r="E131" s="66"/>
      <c r="F131" s="66"/>
      <c r="G131" s="33"/>
      <c r="I131" s="19"/>
      <c r="J131" s="37"/>
    </row>
    <row r="132" spans="1:10" ht="16.5" customHeight="1">
      <c r="A132" s="45">
        <f>A$109</f>
        <v>12</v>
      </c>
      <c r="B132" s="46" t="str">
        <f>B$109</f>
        <v>Indirect Costs</v>
      </c>
      <c r="C132" s="46"/>
      <c r="D132" s="70"/>
      <c r="E132" s="71"/>
      <c r="F132" s="71">
        <f>F$116</f>
        <v>371.98522693264931</v>
      </c>
      <c r="G132" s="47"/>
      <c r="H132" s="46"/>
      <c r="I132" s="19"/>
      <c r="J132" s="37"/>
    </row>
    <row r="133" spans="1:10" ht="16.5" customHeight="1">
      <c r="A133" s="43"/>
      <c r="B133" s="48" t="s">
        <v>88</v>
      </c>
      <c r="C133" s="48"/>
      <c r="E133" s="66"/>
      <c r="F133" s="72">
        <f>F$130+F$132</f>
        <v>2771.8005635907653</v>
      </c>
      <c r="G133" s="49"/>
      <c r="I133" s="19"/>
      <c r="J133" s="37"/>
    </row>
    <row r="134" spans="1:10" ht="16.5" customHeight="1">
      <c r="A134" s="43"/>
      <c r="B134" s="48"/>
      <c r="C134" s="48"/>
      <c r="E134" s="66"/>
      <c r="F134" s="72"/>
      <c r="G134" s="49"/>
      <c r="I134" s="19"/>
      <c r="J134" s="37"/>
    </row>
    <row r="135" spans="1:10" ht="16.5" customHeight="1">
      <c r="A135" s="45">
        <v>13</v>
      </c>
      <c r="B135" s="46" t="s">
        <v>89</v>
      </c>
      <c r="C135" s="46"/>
      <c r="D135" s="73">
        <f>F$133*1000</f>
        <v>2771800.5635907655</v>
      </c>
      <c r="E135" s="245">
        <v>0.2</v>
      </c>
      <c r="F135" s="71">
        <f>D135*E135*0.001</f>
        <v>554.36011271815312</v>
      </c>
      <c r="G135" s="47"/>
      <c r="H135" s="46"/>
      <c r="I135" s="19"/>
      <c r="J135" s="37"/>
    </row>
    <row r="136" spans="1:10" ht="16.5" customHeight="1">
      <c r="E136" s="66"/>
      <c r="F136" s="66"/>
      <c r="G136" s="33"/>
      <c r="I136" s="19"/>
      <c r="J136" s="37"/>
    </row>
    <row r="137" spans="1:10" ht="16.5" customHeight="1">
      <c r="A137" s="12"/>
      <c r="B137" s="50" t="s">
        <v>90</v>
      </c>
      <c r="C137" s="7"/>
      <c r="D137" s="61"/>
      <c r="E137" s="62"/>
      <c r="F137" s="60">
        <f>F$133+F$135</f>
        <v>3326.1606763089185</v>
      </c>
      <c r="G137" s="8"/>
      <c r="H137" s="13"/>
      <c r="I137" s="19"/>
      <c r="J137" s="37"/>
    </row>
    <row r="138" spans="1:10">
      <c r="I138" s="19"/>
      <c r="J138" s="37"/>
    </row>
    <row r="139" spans="1:10">
      <c r="I139" s="19"/>
      <c r="J139" s="37"/>
    </row>
    <row r="140" spans="1:10">
      <c r="I140" s="19"/>
      <c r="J140" s="37"/>
    </row>
    <row r="141" spans="1:10">
      <c r="I141" s="19"/>
      <c r="J141" s="37"/>
    </row>
    <row r="142" spans="1:10">
      <c r="I142" s="19"/>
      <c r="J142" s="37"/>
    </row>
    <row r="143" spans="1:10">
      <c r="I143" s="19"/>
      <c r="J143" s="37"/>
    </row>
    <row r="144" spans="1:10">
      <c r="I144" s="19"/>
      <c r="J144" s="37"/>
    </row>
    <row r="145" spans="9:10">
      <c r="I145" s="19"/>
      <c r="J145" s="37"/>
    </row>
    <row r="146" spans="9:10">
      <c r="I146" s="19"/>
      <c r="J146" s="37"/>
    </row>
    <row r="147" spans="9:10">
      <c r="I147" s="19"/>
      <c r="J147" s="37"/>
    </row>
    <row r="148" spans="9:10">
      <c r="I148" s="19"/>
      <c r="J148" s="37"/>
    </row>
    <row r="149" spans="9:10">
      <c r="I149" s="19"/>
      <c r="J149" s="37"/>
    </row>
    <row r="150" spans="9:10">
      <c r="I150" s="19"/>
      <c r="J150" s="37"/>
    </row>
    <row r="151" spans="9:10">
      <c r="I151" s="19"/>
      <c r="J151" s="37"/>
    </row>
    <row r="152" spans="9:10">
      <c r="I152" s="19"/>
      <c r="J152" s="37"/>
    </row>
    <row r="153" spans="9:10">
      <c r="I153" s="19"/>
      <c r="J153" s="37"/>
    </row>
    <row r="154" spans="9:10">
      <c r="I154" s="19"/>
      <c r="J154" s="37"/>
    </row>
    <row r="155" spans="9:10">
      <c r="I155" s="19"/>
      <c r="J155" s="37"/>
    </row>
    <row r="156" spans="9:10">
      <c r="I156" s="19"/>
      <c r="J156" s="37"/>
    </row>
    <row r="157" spans="9:10">
      <c r="I157" s="19"/>
      <c r="J157" s="37"/>
    </row>
    <row r="158" spans="9:10">
      <c r="I158" s="19"/>
      <c r="J158" s="37"/>
    </row>
    <row r="159" spans="9:10">
      <c r="I159" s="19"/>
      <c r="J159" s="37"/>
    </row>
    <row r="160" spans="9:10">
      <c r="I160" s="19"/>
      <c r="J160" s="37"/>
    </row>
    <row r="161" spans="9:10">
      <c r="I161" s="19"/>
      <c r="J161" s="37"/>
    </row>
    <row r="162" spans="9:10">
      <c r="I162" s="19"/>
      <c r="J162" s="37"/>
    </row>
    <row r="163" spans="9:10">
      <c r="I163" s="19"/>
      <c r="J163" s="37"/>
    </row>
    <row r="164" spans="9:10">
      <c r="I164" s="19"/>
      <c r="J164" s="37"/>
    </row>
    <row r="165" spans="9:10">
      <c r="I165" s="19"/>
      <c r="J165" s="37"/>
    </row>
    <row r="166" spans="9:10">
      <c r="I166" s="19"/>
      <c r="J166" s="37"/>
    </row>
    <row r="167" spans="9:10">
      <c r="I167" s="19"/>
      <c r="J167" s="37"/>
    </row>
    <row r="168" spans="9:10">
      <c r="I168" s="19"/>
      <c r="J168" s="37"/>
    </row>
    <row r="169" spans="9:10">
      <c r="I169" s="19"/>
      <c r="J169" s="37"/>
    </row>
    <row r="170" spans="9:10">
      <c r="I170" s="19"/>
      <c r="J170" s="37"/>
    </row>
    <row r="171" spans="9:10">
      <c r="I171" s="19"/>
      <c r="J171" s="37"/>
    </row>
    <row r="172" spans="9:10">
      <c r="I172" s="19"/>
      <c r="J172" s="37"/>
    </row>
    <row r="173" spans="9:10">
      <c r="I173" s="19"/>
      <c r="J173" s="37"/>
    </row>
    <row r="174" spans="9:10">
      <c r="I174" s="19"/>
      <c r="J174" s="37"/>
    </row>
  </sheetData>
  <mergeCells count="1">
    <mergeCell ref="L3:S11"/>
  </mergeCells>
  <phoneticPr fontId="5" type="noConversion"/>
  <conditionalFormatting sqref="I24:N65536 I3:I5 I17:I22 N12:N22 I7:I15 K18:L22 M20:M22 K3:K5 K8:K15 L12:M15">
    <cfRule type="cellIs" dxfId="23" priority="1" stopIfTrue="1" operator="equal">
      <formula>0</formula>
    </cfRule>
  </conditionalFormatting>
  <printOptions horizontalCentered="1" gridLines="1"/>
  <pageMargins left="0.75" right="0.75" top="0.63" bottom="0.63" header="0.32" footer="0.45"/>
  <pageSetup scale="61" fitToHeight="2" orientation="portrait" r:id="rId1"/>
  <headerFooter alignWithMargins="0">
    <oddHeader>&amp;L&amp;"Arial,Bold Italic"&amp;11&amp;A&amp;C&amp;"Arial,Bold Italic"&amp;11Ten Mile River Hydro
Phase I Feasibility Study&amp;R&amp;"Arial,Bold Italic"&amp;11For Planning Purposes Only</oddHeader>
    <oddFooter>&amp;L&amp;F&amp;R&amp;G</oddFooter>
  </headerFooter>
  <rowBreaks count="1" manualBreakCount="1">
    <brk id="92" max="7" man="1"/>
  </rowBreaks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5"/>
  </sheetPr>
  <dimension ref="A1:S174"/>
  <sheetViews>
    <sheetView view="pageBreakPreview" topLeftCell="A80" zoomScale="75" zoomScaleNormal="80" zoomScaleSheetLayoutView="75" workbookViewId="0">
      <selection activeCell="H11" sqref="H11"/>
    </sheetView>
  </sheetViews>
  <sheetFormatPr defaultRowHeight="12.75"/>
  <cols>
    <col min="1" max="1" width="4.85546875" style="11" customWidth="1"/>
    <col min="2" max="2" width="32.5703125" style="11" customWidth="1"/>
    <col min="3" max="3" width="9.140625" style="11"/>
    <col min="4" max="4" width="12.42578125" style="69" customWidth="1"/>
    <col min="5" max="5" width="9.42578125" style="69" customWidth="1"/>
    <col min="6" max="6" width="12.85546875" style="69" customWidth="1"/>
    <col min="7" max="7" width="3.140625" style="11" customWidth="1"/>
    <col min="8" max="8" width="60.7109375" style="11" customWidth="1"/>
    <col min="9" max="9" width="4.85546875" style="11" customWidth="1"/>
    <col min="10" max="10" width="12.28515625" style="51" customWidth="1"/>
    <col min="11" max="11" width="12.42578125" style="10" customWidth="1"/>
    <col min="12" max="12" width="12.5703125" style="10" customWidth="1"/>
    <col min="13" max="14" width="9.140625" style="10"/>
    <col min="15" max="16384" width="9.140625" style="11"/>
  </cols>
  <sheetData>
    <row r="1" spans="1:19" ht="25.5">
      <c r="A1" s="7" t="s">
        <v>0</v>
      </c>
      <c r="B1" s="7" t="s">
        <v>1</v>
      </c>
      <c r="C1" s="7" t="s">
        <v>2</v>
      </c>
      <c r="D1" s="12" t="s">
        <v>3</v>
      </c>
      <c r="E1" s="60" t="s">
        <v>4</v>
      </c>
      <c r="F1" s="60" t="s">
        <v>5</v>
      </c>
      <c r="G1" s="8"/>
      <c r="H1" s="7" t="s">
        <v>6</v>
      </c>
      <c r="I1" s="7"/>
      <c r="J1" s="9"/>
      <c r="L1" s="170"/>
    </row>
    <row r="2" spans="1:19" ht="16.5" customHeight="1">
      <c r="A2" s="12">
        <v>1</v>
      </c>
      <c r="B2" s="7" t="s">
        <v>7</v>
      </c>
      <c r="C2" s="7"/>
      <c r="D2" s="61"/>
      <c r="E2" s="62"/>
      <c r="F2" s="62"/>
      <c r="G2" s="14"/>
      <c r="H2" s="13"/>
      <c r="I2" s="15"/>
      <c r="J2" s="16"/>
      <c r="L2" s="141"/>
      <c r="M2" s="17"/>
      <c r="N2" s="17"/>
      <c r="O2" s="18"/>
      <c r="P2" s="18"/>
    </row>
    <row r="3" spans="1:19" ht="16.5" customHeight="1">
      <c r="A3" s="19" t="s">
        <v>8</v>
      </c>
      <c r="B3" s="20" t="s">
        <v>9</v>
      </c>
      <c r="C3" s="20"/>
      <c r="D3" s="61">
        <v>1</v>
      </c>
      <c r="E3" s="62">
        <v>25000</v>
      </c>
      <c r="F3" s="62">
        <f>0.001*D3*E3</f>
        <v>25</v>
      </c>
      <c r="G3" s="14"/>
      <c r="H3" s="13" t="s">
        <v>10</v>
      </c>
      <c r="I3" s="21"/>
      <c r="J3" s="22"/>
      <c r="L3" s="374"/>
      <c r="M3" s="374"/>
      <c r="N3" s="374"/>
      <c r="O3" s="374"/>
      <c r="P3" s="374"/>
      <c r="Q3" s="374"/>
      <c r="R3" s="374"/>
      <c r="S3" s="374"/>
    </row>
    <row r="4" spans="1:19" ht="16.5" customHeight="1">
      <c r="A4" s="19" t="s">
        <v>11</v>
      </c>
      <c r="B4" s="20" t="s">
        <v>12</v>
      </c>
      <c r="C4" s="20"/>
      <c r="D4" s="61">
        <v>1</v>
      </c>
      <c r="E4" s="62">
        <v>10000</v>
      </c>
      <c r="F4" s="62">
        <f>0.001*D4*E4</f>
        <v>10</v>
      </c>
      <c r="G4" s="14"/>
      <c r="H4" s="13" t="s">
        <v>10</v>
      </c>
      <c r="I4" s="21"/>
      <c r="J4" s="22"/>
      <c r="K4" s="140"/>
      <c r="L4" s="374"/>
      <c r="M4" s="374"/>
      <c r="N4" s="374"/>
      <c r="O4" s="374"/>
      <c r="P4" s="374"/>
      <c r="Q4" s="374"/>
      <c r="R4" s="374"/>
      <c r="S4" s="374"/>
    </row>
    <row r="5" spans="1:19" ht="16.5" customHeight="1">
      <c r="A5" s="19" t="s">
        <v>13</v>
      </c>
      <c r="B5" s="23" t="s">
        <v>14</v>
      </c>
      <c r="C5" s="23" t="s">
        <v>15</v>
      </c>
      <c r="D5" s="61">
        <v>4</v>
      </c>
      <c r="E5" s="62">
        <v>8000</v>
      </c>
      <c r="F5" s="62">
        <f>0.001*D5*E5</f>
        <v>32</v>
      </c>
      <c r="G5" s="14"/>
      <c r="H5" s="142" t="s">
        <v>285</v>
      </c>
      <c r="I5" s="21"/>
      <c r="J5" s="22"/>
      <c r="K5" s="17"/>
      <c r="L5" s="374"/>
      <c r="M5" s="374"/>
      <c r="N5" s="374"/>
      <c r="O5" s="374"/>
      <c r="P5" s="374"/>
      <c r="Q5" s="374"/>
      <c r="R5" s="374"/>
      <c r="S5" s="374"/>
    </row>
    <row r="6" spans="1:19" ht="16.5" customHeight="1">
      <c r="A6" s="19" t="s">
        <v>16</v>
      </c>
      <c r="B6" s="23" t="s">
        <v>17</v>
      </c>
      <c r="C6" s="23" t="s">
        <v>18</v>
      </c>
      <c r="D6" s="61">
        <v>2000</v>
      </c>
      <c r="E6" s="62">
        <v>10</v>
      </c>
      <c r="F6" s="62">
        <f>0.001*D6*E6</f>
        <v>20</v>
      </c>
      <c r="G6" s="14"/>
      <c r="H6" s="142" t="s">
        <v>285</v>
      </c>
      <c r="I6" s="18"/>
      <c r="J6" s="24"/>
      <c r="K6" s="25"/>
      <c r="L6" s="374"/>
      <c r="M6" s="374"/>
      <c r="N6" s="374"/>
      <c r="O6" s="374"/>
      <c r="P6" s="374"/>
      <c r="Q6" s="374"/>
      <c r="R6" s="374"/>
      <c r="S6" s="374"/>
    </row>
    <row r="7" spans="1:19" ht="16.5" customHeight="1">
      <c r="A7" s="26" t="s">
        <v>19</v>
      </c>
      <c r="B7" s="27" t="s">
        <v>151</v>
      </c>
      <c r="C7" s="27"/>
      <c r="D7" s="184">
        <v>1</v>
      </c>
      <c r="E7" s="64">
        <f>('Phase I Dam Repairs'!D4+'Phase I Dam Repairs'!D3)*1000</f>
        <v>90000</v>
      </c>
      <c r="F7" s="64">
        <f>0.001*D7*E7</f>
        <v>90</v>
      </c>
      <c r="G7" s="29"/>
      <c r="H7" s="238" t="s">
        <v>265</v>
      </c>
      <c r="I7" s="21"/>
      <c r="J7" s="22"/>
      <c r="K7" s="30"/>
      <c r="L7" s="374"/>
      <c r="M7" s="374"/>
      <c r="N7" s="374"/>
      <c r="O7" s="374"/>
      <c r="P7" s="374"/>
      <c r="Q7" s="374"/>
      <c r="R7" s="374"/>
      <c r="S7" s="374"/>
    </row>
    <row r="8" spans="1:19" ht="16.5" customHeight="1">
      <c r="A8" s="19" t="s">
        <v>21</v>
      </c>
      <c r="B8" s="19" t="s">
        <v>22</v>
      </c>
      <c r="C8" s="19"/>
      <c r="D8" s="61"/>
      <c r="E8" s="62"/>
      <c r="F8" s="62">
        <f>SUM(F2:F7)</f>
        <v>177</v>
      </c>
      <c r="G8" s="14"/>
      <c r="H8" s="13"/>
      <c r="I8" s="21"/>
      <c r="J8" s="22"/>
      <c r="K8" s="31"/>
      <c r="L8" s="374"/>
      <c r="M8" s="374"/>
      <c r="N8" s="374"/>
      <c r="O8" s="374"/>
      <c r="P8" s="374"/>
      <c r="Q8" s="374"/>
      <c r="R8" s="374"/>
      <c r="S8" s="374"/>
    </row>
    <row r="9" spans="1:19" ht="16.5" customHeight="1">
      <c r="A9" s="19"/>
      <c r="B9" s="13"/>
      <c r="C9" s="13"/>
      <c r="D9" s="61"/>
      <c r="E9" s="62"/>
      <c r="F9" s="62"/>
      <c r="G9" s="14"/>
      <c r="H9" s="13"/>
      <c r="I9" s="21"/>
      <c r="J9" s="22"/>
      <c r="K9" s="31"/>
      <c r="L9" s="374"/>
      <c r="M9" s="374"/>
      <c r="N9" s="374"/>
      <c r="O9" s="374"/>
      <c r="P9" s="374"/>
      <c r="Q9" s="374"/>
      <c r="R9" s="374"/>
      <c r="S9" s="374"/>
    </row>
    <row r="10" spans="1:19" ht="16.5" customHeight="1">
      <c r="A10" s="12">
        <v>2</v>
      </c>
      <c r="B10" s="7" t="s">
        <v>130</v>
      </c>
      <c r="C10" s="7"/>
      <c r="D10" s="65"/>
      <c r="E10" s="62"/>
      <c r="F10" s="62"/>
      <c r="G10" s="14"/>
      <c r="H10" s="13"/>
      <c r="I10" s="21"/>
      <c r="J10" s="22"/>
      <c r="K10" s="31"/>
      <c r="L10" s="374"/>
      <c r="M10" s="374"/>
      <c r="N10" s="374"/>
      <c r="O10" s="374"/>
      <c r="P10" s="374"/>
      <c r="Q10" s="374"/>
      <c r="R10" s="374"/>
      <c r="S10" s="374"/>
    </row>
    <row r="11" spans="1:19" ht="16.5" customHeight="1">
      <c r="A11" s="19" t="s">
        <v>8</v>
      </c>
      <c r="B11" s="20" t="s">
        <v>114</v>
      </c>
      <c r="C11" s="32"/>
      <c r="D11" s="66"/>
      <c r="E11" s="62"/>
      <c r="F11" s="62">
        <v>100</v>
      </c>
      <c r="G11" s="14"/>
      <c r="H11" s="13" t="s">
        <v>10</v>
      </c>
      <c r="I11" s="21"/>
      <c r="J11" s="22"/>
      <c r="K11" s="31"/>
      <c r="L11" s="374"/>
      <c r="M11" s="374"/>
      <c r="N11" s="374"/>
      <c r="O11" s="374"/>
      <c r="P11" s="374"/>
      <c r="Q11" s="374"/>
      <c r="R11" s="374"/>
      <c r="S11" s="374"/>
    </row>
    <row r="12" spans="1:19" ht="16.5" customHeight="1">
      <c r="A12" s="19" t="s">
        <v>11</v>
      </c>
      <c r="B12" s="194" t="s">
        <v>376</v>
      </c>
      <c r="C12" s="32"/>
      <c r="D12" s="66"/>
      <c r="E12" s="62"/>
      <c r="F12" s="62">
        <v>10</v>
      </c>
      <c r="G12" s="14"/>
      <c r="H12" s="13" t="s">
        <v>10</v>
      </c>
      <c r="I12" s="21"/>
      <c r="J12" s="22"/>
      <c r="K12" s="31"/>
      <c r="L12" s="31"/>
      <c r="M12" s="31"/>
      <c r="N12" s="17"/>
      <c r="O12" s="18"/>
      <c r="P12" s="18"/>
    </row>
    <row r="13" spans="1:19" ht="16.5" customHeight="1">
      <c r="A13" s="19" t="s">
        <v>13</v>
      </c>
      <c r="B13" s="194" t="s">
        <v>318</v>
      </c>
      <c r="C13" s="20"/>
      <c r="D13" s="66">
        <v>1</v>
      </c>
      <c r="E13" s="239">
        <f>'Pwrhse Cost Estimator'!D27</f>
        <v>576263.54526932142</v>
      </c>
      <c r="F13" s="62">
        <f t="shared" ref="F13:F29" si="0">0.001*D13*E13</f>
        <v>576.26354526932141</v>
      </c>
      <c r="G13" s="14"/>
      <c r="H13" s="142" t="s">
        <v>377</v>
      </c>
      <c r="I13" s="21"/>
      <c r="J13" s="22"/>
      <c r="K13" s="31"/>
      <c r="L13" s="31"/>
      <c r="M13" s="31"/>
      <c r="N13" s="17"/>
      <c r="O13" s="18"/>
      <c r="P13" s="18"/>
    </row>
    <row r="14" spans="1:19" ht="16.5" hidden="1" customHeight="1">
      <c r="A14" s="19" t="s">
        <v>25</v>
      </c>
      <c r="B14" s="34" t="s">
        <v>26</v>
      </c>
      <c r="C14" s="23" t="s">
        <v>27</v>
      </c>
      <c r="D14" s="173">
        <v>0</v>
      </c>
      <c r="E14" s="171">
        <v>25</v>
      </c>
      <c r="F14" s="62">
        <f t="shared" si="0"/>
        <v>0</v>
      </c>
      <c r="G14" s="14"/>
      <c r="H14" s="143" t="s">
        <v>253</v>
      </c>
      <c r="I14" s="21"/>
      <c r="J14" s="22"/>
      <c r="K14" s="17"/>
      <c r="L14" s="17"/>
      <c r="M14" s="17"/>
      <c r="N14" s="17"/>
      <c r="O14" s="18"/>
      <c r="P14" s="18"/>
    </row>
    <row r="15" spans="1:19" ht="27.75" hidden="1" customHeight="1">
      <c r="A15" s="19" t="s">
        <v>28</v>
      </c>
      <c r="B15" s="35" t="s">
        <v>29</v>
      </c>
      <c r="C15" s="23" t="s">
        <v>27</v>
      </c>
      <c r="D15" s="174">
        <v>0</v>
      </c>
      <c r="E15" s="62">
        <v>100</v>
      </c>
      <c r="F15" s="62">
        <f t="shared" si="0"/>
        <v>0</v>
      </c>
      <c r="G15" s="14"/>
      <c r="H15" s="143" t="s">
        <v>253</v>
      </c>
      <c r="I15" s="21"/>
      <c r="J15" s="22"/>
      <c r="K15" s="17"/>
      <c r="L15" s="17"/>
      <c r="M15" s="17"/>
      <c r="N15" s="17"/>
      <c r="O15" s="18"/>
      <c r="P15" s="18"/>
    </row>
    <row r="16" spans="1:19" ht="16.5" hidden="1" customHeight="1">
      <c r="A16" s="19" t="s">
        <v>30</v>
      </c>
      <c r="B16" s="35" t="s">
        <v>31</v>
      </c>
      <c r="C16" s="23" t="s">
        <v>27</v>
      </c>
      <c r="D16" s="174">
        <v>0</v>
      </c>
      <c r="E16" s="62">
        <v>100</v>
      </c>
      <c r="F16" s="62">
        <f t="shared" si="0"/>
        <v>0</v>
      </c>
      <c r="G16" s="14"/>
      <c r="H16" s="143" t="s">
        <v>253</v>
      </c>
      <c r="I16" s="18"/>
      <c r="J16" s="24"/>
      <c r="K16" s="25"/>
      <c r="L16" s="25"/>
      <c r="M16" s="25"/>
      <c r="N16" s="17"/>
      <c r="O16" s="18"/>
      <c r="P16" s="18"/>
    </row>
    <row r="17" spans="1:16" ht="16.5" hidden="1" customHeight="1">
      <c r="A17" s="21" t="s">
        <v>16</v>
      </c>
      <c r="B17" s="23" t="s">
        <v>32</v>
      </c>
      <c r="C17" s="23"/>
      <c r="D17" s="67">
        <v>0</v>
      </c>
      <c r="E17" s="62">
        <v>10000</v>
      </c>
      <c r="F17" s="62">
        <f t="shared" si="0"/>
        <v>0</v>
      </c>
      <c r="G17" s="14"/>
      <c r="H17" s="13" t="s">
        <v>10</v>
      </c>
      <c r="I17" s="21"/>
      <c r="J17" s="22"/>
      <c r="K17" s="30"/>
      <c r="L17" s="30"/>
      <c r="M17" s="30"/>
      <c r="N17" s="17"/>
      <c r="O17" s="18"/>
      <c r="P17" s="18"/>
    </row>
    <row r="18" spans="1:16" ht="16.5" hidden="1" customHeight="1">
      <c r="A18" s="19" t="s">
        <v>19</v>
      </c>
      <c r="B18" s="23" t="s">
        <v>33</v>
      </c>
      <c r="C18" s="23" t="s">
        <v>34</v>
      </c>
      <c r="D18" s="67">
        <v>0</v>
      </c>
      <c r="E18" s="62">
        <v>1000</v>
      </c>
      <c r="F18" s="62">
        <f t="shared" si="0"/>
        <v>0</v>
      </c>
      <c r="G18" s="14"/>
      <c r="H18" s="36" t="s">
        <v>156</v>
      </c>
      <c r="I18" s="21"/>
      <c r="J18" s="22"/>
      <c r="K18" s="31"/>
      <c r="L18" s="31"/>
      <c r="M18" s="30"/>
      <c r="N18" s="17"/>
      <c r="O18" s="18"/>
      <c r="P18" s="18"/>
    </row>
    <row r="19" spans="1:16" ht="16.5" hidden="1" customHeight="1">
      <c r="A19" s="19" t="s">
        <v>21</v>
      </c>
      <c r="B19" s="23" t="s">
        <v>57</v>
      </c>
      <c r="C19" s="23" t="s">
        <v>27</v>
      </c>
      <c r="D19" s="175">
        <v>0</v>
      </c>
      <c r="E19" s="62">
        <v>750</v>
      </c>
      <c r="F19" s="62">
        <f t="shared" si="0"/>
        <v>0</v>
      </c>
      <c r="G19" s="14"/>
      <c r="H19" s="13" t="s">
        <v>10</v>
      </c>
      <c r="I19" s="21"/>
      <c r="J19" s="22"/>
      <c r="K19" s="31"/>
      <c r="L19" s="31"/>
      <c r="M19" s="30"/>
      <c r="N19" s="17"/>
      <c r="O19" s="18"/>
      <c r="P19" s="18"/>
    </row>
    <row r="20" spans="1:16" ht="16.5" hidden="1" customHeight="1">
      <c r="A20" s="19" t="s">
        <v>35</v>
      </c>
      <c r="B20" s="23" t="s">
        <v>124</v>
      </c>
      <c r="C20" s="23" t="s">
        <v>23</v>
      </c>
      <c r="D20" s="174">
        <v>0</v>
      </c>
      <c r="E20" s="62">
        <v>100</v>
      </c>
      <c r="F20" s="62">
        <f t="shared" si="0"/>
        <v>0</v>
      </c>
      <c r="G20" s="14"/>
      <c r="H20" s="143" t="s">
        <v>253</v>
      </c>
      <c r="I20" s="21"/>
      <c r="J20" s="22"/>
      <c r="K20" s="31"/>
      <c r="L20" s="31"/>
      <c r="M20" s="31"/>
      <c r="N20" s="17"/>
      <c r="O20" s="18"/>
      <c r="P20" s="18"/>
    </row>
    <row r="21" spans="1:16" ht="16.5" hidden="1" customHeight="1">
      <c r="A21" s="19" t="s">
        <v>36</v>
      </c>
      <c r="B21" s="20" t="s">
        <v>37</v>
      </c>
      <c r="C21" s="23" t="s">
        <v>23</v>
      </c>
      <c r="D21" s="173">
        <v>0</v>
      </c>
      <c r="E21" s="62">
        <v>400</v>
      </c>
      <c r="F21" s="62">
        <f t="shared" si="0"/>
        <v>0</v>
      </c>
      <c r="G21" s="14"/>
      <c r="H21" s="143" t="s">
        <v>252</v>
      </c>
      <c r="I21" s="21"/>
      <c r="J21" s="22"/>
      <c r="K21" s="31"/>
      <c r="L21" s="31"/>
      <c r="M21" s="31"/>
      <c r="N21" s="17"/>
      <c r="O21" s="18"/>
      <c r="P21" s="18"/>
    </row>
    <row r="22" spans="1:16" ht="16.5" hidden="1" customHeight="1">
      <c r="A22" s="19" t="s">
        <v>25</v>
      </c>
      <c r="B22" s="20" t="s">
        <v>38</v>
      </c>
      <c r="C22" s="32"/>
      <c r="D22" s="66">
        <v>0</v>
      </c>
      <c r="E22" s="62">
        <v>150000</v>
      </c>
      <c r="F22" s="62">
        <f t="shared" si="0"/>
        <v>0</v>
      </c>
      <c r="G22" s="14"/>
      <c r="H22" s="36" t="s">
        <v>159</v>
      </c>
      <c r="I22" s="21"/>
      <c r="J22" s="22"/>
      <c r="K22" s="31"/>
      <c r="L22" s="31"/>
      <c r="M22" s="31"/>
      <c r="N22" s="17"/>
      <c r="O22" s="18"/>
      <c r="P22" s="18"/>
    </row>
    <row r="23" spans="1:16" ht="16.5" hidden="1" customHeight="1">
      <c r="A23" s="19" t="s">
        <v>39</v>
      </c>
      <c r="B23" s="23" t="s">
        <v>160</v>
      </c>
      <c r="C23" s="20"/>
      <c r="D23" s="61">
        <v>0</v>
      </c>
      <c r="E23" s="62">
        <v>15000</v>
      </c>
      <c r="F23" s="62">
        <f t="shared" si="0"/>
        <v>0</v>
      </c>
      <c r="G23" s="14"/>
      <c r="H23" s="36" t="s">
        <v>10</v>
      </c>
      <c r="J23" s="11"/>
      <c r="K23" s="11"/>
      <c r="L23" s="11"/>
      <c r="M23" s="11"/>
      <c r="N23" s="11"/>
    </row>
    <row r="24" spans="1:16" ht="33" customHeight="1">
      <c r="A24" s="19" t="s">
        <v>40</v>
      </c>
      <c r="B24" s="194" t="s">
        <v>292</v>
      </c>
      <c r="C24" s="194" t="s">
        <v>18</v>
      </c>
      <c r="D24" s="61">
        <v>2000</v>
      </c>
      <c r="E24" s="62">
        <f>'Penstock Costs'!G18</f>
        <v>444.61828589999988</v>
      </c>
      <c r="F24" s="62">
        <f t="shared" si="0"/>
        <v>889.23657179999975</v>
      </c>
      <c r="G24" s="14"/>
      <c r="H24" s="142" t="s">
        <v>362</v>
      </c>
      <c r="I24" s="19"/>
      <c r="J24" s="37"/>
    </row>
    <row r="25" spans="1:16" ht="16.5" customHeight="1">
      <c r="A25" s="19" t="s">
        <v>41</v>
      </c>
      <c r="B25" s="20" t="s">
        <v>42</v>
      </c>
      <c r="C25" s="20"/>
      <c r="D25" s="61">
        <v>1</v>
      </c>
      <c r="E25" s="62">
        <v>5000</v>
      </c>
      <c r="F25" s="62">
        <f t="shared" si="0"/>
        <v>5</v>
      </c>
      <c r="G25" s="14"/>
      <c r="H25" s="13" t="s">
        <v>10</v>
      </c>
      <c r="I25" s="19"/>
      <c r="J25" s="37"/>
    </row>
    <row r="26" spans="1:16" ht="16.5" customHeight="1">
      <c r="A26" s="19" t="s">
        <v>43</v>
      </c>
      <c r="B26" s="20" t="s">
        <v>44</v>
      </c>
      <c r="C26" s="20"/>
      <c r="D26" s="61">
        <v>1</v>
      </c>
      <c r="E26" s="239">
        <v>10000</v>
      </c>
      <c r="F26" s="239">
        <f t="shared" si="0"/>
        <v>10</v>
      </c>
      <c r="G26" s="240"/>
      <c r="H26" s="142" t="s">
        <v>10</v>
      </c>
      <c r="I26" s="19"/>
      <c r="J26" s="37"/>
    </row>
    <row r="27" spans="1:16" ht="25.5" customHeight="1">
      <c r="A27" s="19" t="s">
        <v>45</v>
      </c>
      <c r="B27" s="20" t="s">
        <v>46</v>
      </c>
      <c r="C27" s="20"/>
      <c r="D27" s="61">
        <v>1</v>
      </c>
      <c r="E27" s="239">
        <v>10000</v>
      </c>
      <c r="F27" s="239">
        <f t="shared" si="0"/>
        <v>10</v>
      </c>
      <c r="G27" s="240"/>
      <c r="H27" s="142" t="s">
        <v>10</v>
      </c>
      <c r="I27" s="19"/>
      <c r="J27" s="37"/>
    </row>
    <row r="28" spans="1:16">
      <c r="A28" s="19" t="s">
        <v>47</v>
      </c>
      <c r="B28" s="20" t="s">
        <v>48</v>
      </c>
      <c r="C28" s="20"/>
      <c r="D28" s="61">
        <v>1</v>
      </c>
      <c r="E28" s="62">
        <v>5000</v>
      </c>
      <c r="F28" s="62">
        <f t="shared" si="0"/>
        <v>5</v>
      </c>
      <c r="G28" s="14"/>
      <c r="H28" s="13" t="s">
        <v>10</v>
      </c>
      <c r="I28" s="19"/>
      <c r="J28" s="37"/>
    </row>
    <row r="29" spans="1:16" ht="16.5" customHeight="1">
      <c r="A29" s="26" t="s">
        <v>49</v>
      </c>
      <c r="B29" s="192"/>
      <c r="C29" s="27" t="s">
        <v>27</v>
      </c>
      <c r="D29" s="68"/>
      <c r="E29" s="64"/>
      <c r="F29" s="64">
        <f t="shared" si="0"/>
        <v>0</v>
      </c>
      <c r="G29" s="29"/>
      <c r="H29" s="238"/>
      <c r="I29" s="19"/>
      <c r="J29" s="37"/>
    </row>
    <row r="30" spans="1:16">
      <c r="A30" s="19" t="s">
        <v>50</v>
      </c>
      <c r="B30" s="264" t="s">
        <v>385</v>
      </c>
      <c r="C30" s="19"/>
      <c r="D30" s="61"/>
      <c r="E30" s="62"/>
      <c r="F30" s="62">
        <f>SUM(F11:F29)</f>
        <v>1605.5001170693213</v>
      </c>
      <c r="G30" s="14"/>
      <c r="H30" s="13"/>
      <c r="I30" s="19"/>
      <c r="J30" s="37"/>
    </row>
    <row r="31" spans="1:16" ht="16.5" customHeight="1">
      <c r="A31" s="19"/>
      <c r="B31" s="13"/>
      <c r="C31" s="13"/>
      <c r="D31" s="61"/>
      <c r="E31" s="62"/>
      <c r="F31" s="62"/>
      <c r="G31" s="14"/>
      <c r="H31" s="13"/>
      <c r="I31" s="19"/>
      <c r="J31" s="37"/>
    </row>
    <row r="32" spans="1:16" ht="16.5" customHeight="1">
      <c r="A32" s="12">
        <v>3</v>
      </c>
      <c r="B32" s="7" t="s">
        <v>52</v>
      </c>
      <c r="C32" s="7"/>
      <c r="D32" s="61"/>
      <c r="E32" s="62"/>
      <c r="F32" s="62"/>
      <c r="G32" s="14"/>
      <c r="H32" s="13"/>
      <c r="I32" s="19"/>
      <c r="J32" s="37"/>
    </row>
    <row r="33" spans="1:10">
      <c r="A33" s="19" t="s">
        <v>8</v>
      </c>
      <c r="B33" s="194" t="s">
        <v>319</v>
      </c>
      <c r="C33" s="20"/>
      <c r="D33" s="61">
        <v>1</v>
      </c>
      <c r="E33" s="62">
        <f>'TG Costs'!D26</f>
        <v>455226.76</v>
      </c>
      <c r="F33" s="62">
        <f t="shared" ref="F33" si="1">0.001*D33*E33</f>
        <v>455.22676000000001</v>
      </c>
      <c r="G33" s="14"/>
      <c r="H33" s="142" t="s">
        <v>386</v>
      </c>
      <c r="I33" s="19"/>
      <c r="J33" s="37"/>
    </row>
    <row r="34" spans="1:10" ht="20.25" customHeight="1">
      <c r="A34" s="19" t="s">
        <v>11</v>
      </c>
      <c r="B34" s="23" t="s">
        <v>161</v>
      </c>
      <c r="C34" s="20"/>
      <c r="D34" s="61">
        <v>1</v>
      </c>
      <c r="E34" s="62">
        <f>SUM(F33,F35:F38)*1000*0.2</f>
        <v>114045.35200000001</v>
      </c>
      <c r="F34" s="62">
        <f t="shared" ref="F34:F38" si="2">0.001*D34*E34</f>
        <v>114.04535200000002</v>
      </c>
      <c r="G34" s="14"/>
      <c r="H34" s="36" t="s">
        <v>162</v>
      </c>
      <c r="I34" s="19"/>
      <c r="J34" s="37"/>
    </row>
    <row r="35" spans="1:10" ht="16.5" customHeight="1">
      <c r="A35" s="19" t="s">
        <v>13</v>
      </c>
      <c r="B35" s="20" t="s">
        <v>53</v>
      </c>
      <c r="C35" s="20"/>
      <c r="D35" s="191">
        <v>1</v>
      </c>
      <c r="E35" s="239">
        <f>'Interconnect Costs'!K10</f>
        <v>20000</v>
      </c>
      <c r="F35" s="239">
        <f t="shared" si="2"/>
        <v>20</v>
      </c>
      <c r="G35" s="240"/>
      <c r="H35" s="241" t="s">
        <v>274</v>
      </c>
      <c r="I35" s="19"/>
      <c r="J35" s="37"/>
    </row>
    <row r="36" spans="1:10" ht="16.5" customHeight="1">
      <c r="A36" s="19" t="s">
        <v>16</v>
      </c>
      <c r="B36" s="194" t="s">
        <v>320</v>
      </c>
      <c r="C36" s="20"/>
      <c r="D36" s="191">
        <v>1</v>
      </c>
      <c r="E36" s="239">
        <v>50000</v>
      </c>
      <c r="F36" s="239">
        <f t="shared" si="2"/>
        <v>50</v>
      </c>
      <c r="G36" s="240"/>
      <c r="H36" s="142" t="s">
        <v>384</v>
      </c>
      <c r="I36" s="19"/>
      <c r="J36" s="37"/>
    </row>
    <row r="37" spans="1:10">
      <c r="A37" s="19" t="s">
        <v>19</v>
      </c>
      <c r="B37" s="20" t="s">
        <v>55</v>
      </c>
      <c r="C37" s="20"/>
      <c r="D37" s="191">
        <v>1</v>
      </c>
      <c r="E37" s="239">
        <v>20000</v>
      </c>
      <c r="F37" s="239">
        <f t="shared" si="2"/>
        <v>20</v>
      </c>
      <c r="G37" s="240"/>
      <c r="H37" s="142" t="s">
        <v>10</v>
      </c>
      <c r="I37" s="19"/>
      <c r="J37" s="37"/>
    </row>
    <row r="38" spans="1:10" ht="16.5" customHeight="1">
      <c r="A38" s="26" t="s">
        <v>21</v>
      </c>
      <c r="B38" s="192" t="s">
        <v>321</v>
      </c>
      <c r="C38" s="27"/>
      <c r="D38" s="184">
        <v>1</v>
      </c>
      <c r="E38" s="64">
        <v>25000</v>
      </c>
      <c r="F38" s="64">
        <f t="shared" si="2"/>
        <v>25</v>
      </c>
      <c r="G38" s="29"/>
      <c r="H38" s="238" t="s">
        <v>10</v>
      </c>
      <c r="I38" s="19"/>
      <c r="J38" s="37"/>
    </row>
    <row r="39" spans="1:10" ht="16.5" customHeight="1">
      <c r="A39" s="19" t="s">
        <v>35</v>
      </c>
      <c r="B39" s="19" t="s">
        <v>56</v>
      </c>
      <c r="C39" s="19"/>
      <c r="D39" s="61"/>
      <c r="E39" s="62"/>
      <c r="F39" s="62">
        <f>SUM(F33:F38)</f>
        <v>684.27211199999999</v>
      </c>
      <c r="G39" s="14"/>
      <c r="H39" s="13"/>
      <c r="I39" s="19"/>
      <c r="J39" s="37"/>
    </row>
    <row r="40" spans="1:10" ht="16.5" hidden="1" customHeight="1">
      <c r="A40" s="19"/>
      <c r="B40" s="13"/>
      <c r="C40" s="13"/>
      <c r="D40" s="61"/>
      <c r="E40" s="62"/>
      <c r="F40" s="62"/>
      <c r="G40" s="14"/>
      <c r="H40" s="13"/>
      <c r="I40" s="19"/>
      <c r="J40" s="37"/>
    </row>
    <row r="41" spans="1:10" ht="16.5" hidden="1" customHeight="1">
      <c r="A41" s="12">
        <v>4</v>
      </c>
      <c r="B41" s="7" t="s">
        <v>132</v>
      </c>
      <c r="C41" s="7"/>
      <c r="D41" s="61"/>
      <c r="E41" s="62"/>
      <c r="F41" s="62"/>
      <c r="G41" s="14"/>
      <c r="H41" s="13"/>
      <c r="I41" s="19"/>
      <c r="J41" s="37"/>
    </row>
    <row r="42" spans="1:10" ht="16.5" hidden="1" customHeight="1">
      <c r="A42" s="19" t="s">
        <v>8</v>
      </c>
      <c r="B42" s="20" t="s">
        <v>133</v>
      </c>
      <c r="C42" s="23" t="s">
        <v>23</v>
      </c>
      <c r="D42" s="61"/>
      <c r="E42" s="62">
        <v>40</v>
      </c>
      <c r="F42" s="62">
        <f>0.001*D42*E42</f>
        <v>0</v>
      </c>
      <c r="G42" s="14"/>
      <c r="H42" s="13" t="s">
        <v>10</v>
      </c>
      <c r="I42" s="19"/>
      <c r="J42" s="37"/>
    </row>
    <row r="43" spans="1:10" ht="16.5" hidden="1" customHeight="1">
      <c r="A43" s="19" t="s">
        <v>11</v>
      </c>
      <c r="B43" s="20" t="s">
        <v>24</v>
      </c>
      <c r="C43" s="23" t="s">
        <v>27</v>
      </c>
      <c r="D43" s="61"/>
      <c r="E43" s="62">
        <v>15</v>
      </c>
      <c r="F43" s="62">
        <f>0.001*D43*E43</f>
        <v>0</v>
      </c>
      <c r="G43" s="14"/>
      <c r="H43" s="13" t="s">
        <v>10</v>
      </c>
      <c r="I43" s="19"/>
      <c r="J43" s="37"/>
    </row>
    <row r="44" spans="1:10" ht="16.5" hidden="1" customHeight="1">
      <c r="A44" s="19" t="s">
        <v>13</v>
      </c>
      <c r="B44" s="20" t="s">
        <v>134</v>
      </c>
      <c r="C44" s="23" t="s">
        <v>27</v>
      </c>
      <c r="D44" s="61"/>
      <c r="E44" s="62">
        <v>450</v>
      </c>
      <c r="F44" s="62">
        <f>0.001*D44*E44</f>
        <v>0</v>
      </c>
      <c r="G44" s="14"/>
      <c r="H44" s="13" t="s">
        <v>10</v>
      </c>
      <c r="I44" s="19"/>
      <c r="J44" s="37"/>
    </row>
    <row r="45" spans="1:10" hidden="1">
      <c r="A45" s="19" t="s">
        <v>16</v>
      </c>
      <c r="B45" s="20" t="s">
        <v>135</v>
      </c>
      <c r="C45" s="20"/>
      <c r="D45" s="61"/>
      <c r="E45" s="62"/>
      <c r="F45" s="62">
        <f>0.001*D45*E45</f>
        <v>0</v>
      </c>
      <c r="G45" s="14"/>
      <c r="H45" s="36"/>
      <c r="I45" s="19"/>
      <c r="J45" s="37"/>
    </row>
    <row r="46" spans="1:10" ht="16.5" hidden="1" customHeight="1">
      <c r="A46" s="26" t="s">
        <v>19</v>
      </c>
      <c r="B46" s="27" t="s">
        <v>20</v>
      </c>
      <c r="C46" s="27"/>
      <c r="D46" s="63"/>
      <c r="E46" s="64"/>
      <c r="F46" s="64">
        <f>0.001*D46*E46</f>
        <v>0</v>
      </c>
      <c r="G46" s="29"/>
      <c r="H46" s="28"/>
      <c r="I46" s="19"/>
      <c r="J46" s="37"/>
    </row>
    <row r="47" spans="1:10" ht="16.5" hidden="1" customHeight="1">
      <c r="A47" s="19" t="s">
        <v>21</v>
      </c>
      <c r="B47" s="19" t="s">
        <v>136</v>
      </c>
      <c r="C47" s="19"/>
      <c r="D47" s="61"/>
      <c r="E47" s="62"/>
      <c r="F47" s="62">
        <f>SUM(F42:F46)</f>
        <v>0</v>
      </c>
      <c r="G47" s="14"/>
      <c r="H47" s="13"/>
      <c r="I47" s="19"/>
      <c r="J47" s="37"/>
    </row>
    <row r="48" spans="1:10" ht="16.5" hidden="1" customHeight="1">
      <c r="A48" s="19"/>
      <c r="B48" s="13"/>
      <c r="C48" s="13"/>
      <c r="D48" s="61"/>
      <c r="E48" s="62"/>
      <c r="F48" s="62"/>
      <c r="G48" s="14"/>
      <c r="H48" s="13"/>
      <c r="I48" s="19"/>
      <c r="J48" s="37"/>
    </row>
    <row r="49" spans="1:10" ht="16.5" hidden="1" customHeight="1">
      <c r="A49" s="12">
        <v>5</v>
      </c>
      <c r="B49" s="7" t="s">
        <v>137</v>
      </c>
      <c r="C49" s="7"/>
      <c r="D49" s="61"/>
      <c r="E49" s="62"/>
      <c r="F49" s="62"/>
      <c r="G49" s="14"/>
      <c r="H49" s="13"/>
      <c r="I49" s="19"/>
      <c r="J49" s="37"/>
    </row>
    <row r="50" spans="1:10" ht="16.5" hidden="1" customHeight="1">
      <c r="A50" s="39" t="s">
        <v>8</v>
      </c>
      <c r="B50" s="40" t="s">
        <v>138</v>
      </c>
      <c r="C50" s="40"/>
      <c r="D50" s="61"/>
      <c r="E50" s="62">
        <v>1000</v>
      </c>
      <c r="F50" s="62">
        <f t="shared" ref="F50:F55" si="3">0.001*D50*E50</f>
        <v>0</v>
      </c>
      <c r="G50" s="14"/>
      <c r="H50" s="13" t="s">
        <v>10</v>
      </c>
      <c r="I50" s="19"/>
      <c r="J50" s="37"/>
    </row>
    <row r="51" spans="1:10" ht="16.5" hidden="1" customHeight="1">
      <c r="A51" s="39" t="s">
        <v>11</v>
      </c>
      <c r="B51" s="23" t="s">
        <v>17</v>
      </c>
      <c r="C51" s="23" t="s">
        <v>18</v>
      </c>
      <c r="D51" s="61"/>
      <c r="E51" s="62">
        <v>5</v>
      </c>
      <c r="F51" s="62">
        <f t="shared" si="3"/>
        <v>0</v>
      </c>
      <c r="G51" s="14"/>
      <c r="H51" s="13" t="s">
        <v>139</v>
      </c>
      <c r="I51" s="19"/>
      <c r="J51" s="37"/>
    </row>
    <row r="52" spans="1:10" ht="16.5" hidden="1" customHeight="1">
      <c r="A52" s="19" t="s">
        <v>13</v>
      </c>
      <c r="B52" s="41" t="s">
        <v>140</v>
      </c>
      <c r="C52" s="40" t="s">
        <v>15</v>
      </c>
      <c r="D52" s="61"/>
      <c r="E52" s="62">
        <v>6201</v>
      </c>
      <c r="F52" s="62">
        <f t="shared" si="3"/>
        <v>0</v>
      </c>
      <c r="G52" s="14"/>
      <c r="H52" s="13" t="s">
        <v>10</v>
      </c>
      <c r="I52" s="19"/>
      <c r="J52" s="37"/>
    </row>
    <row r="53" spans="1:10" ht="16.5" hidden="1" customHeight="1">
      <c r="A53" s="19" t="s">
        <v>16</v>
      </c>
      <c r="B53" s="41" t="s">
        <v>24</v>
      </c>
      <c r="C53" s="41" t="s">
        <v>27</v>
      </c>
      <c r="D53" s="67"/>
      <c r="E53" s="62">
        <v>15</v>
      </c>
      <c r="F53" s="62">
        <f t="shared" si="3"/>
        <v>0</v>
      </c>
      <c r="G53" s="14"/>
      <c r="H53" s="13" t="s">
        <v>139</v>
      </c>
      <c r="I53" s="19"/>
      <c r="J53" s="37"/>
    </row>
    <row r="54" spans="1:10" ht="16.5" hidden="1" customHeight="1">
      <c r="A54" s="19" t="s">
        <v>19</v>
      </c>
      <c r="B54" s="41" t="s">
        <v>141</v>
      </c>
      <c r="C54" s="41" t="s">
        <v>27</v>
      </c>
      <c r="D54" s="67"/>
      <c r="E54" s="62">
        <v>40</v>
      </c>
      <c r="F54" s="62">
        <f t="shared" si="3"/>
        <v>0</v>
      </c>
      <c r="G54" s="14"/>
      <c r="H54" s="13" t="s">
        <v>139</v>
      </c>
      <c r="I54" s="19"/>
      <c r="J54" s="37"/>
    </row>
    <row r="55" spans="1:10" ht="16.5" hidden="1" customHeight="1">
      <c r="A55" s="26" t="s">
        <v>21</v>
      </c>
      <c r="B55" s="27" t="s">
        <v>20</v>
      </c>
      <c r="C55" s="27"/>
      <c r="D55" s="63"/>
      <c r="E55" s="64"/>
      <c r="F55" s="64">
        <f t="shared" si="3"/>
        <v>0</v>
      </c>
      <c r="G55" s="29"/>
      <c r="H55" s="28"/>
      <c r="I55" s="19"/>
      <c r="J55" s="37"/>
    </row>
    <row r="56" spans="1:10" ht="16.5" hidden="1" customHeight="1">
      <c r="A56" s="19" t="s">
        <v>35</v>
      </c>
      <c r="B56" s="21" t="s">
        <v>142</v>
      </c>
      <c r="C56" s="21"/>
      <c r="D56" s="61"/>
      <c r="E56" s="62"/>
      <c r="F56" s="62">
        <f>SUM(F50:F55)</f>
        <v>0</v>
      </c>
      <c r="G56" s="14"/>
      <c r="H56" s="13"/>
      <c r="I56" s="19"/>
      <c r="J56" s="37"/>
    </row>
    <row r="57" spans="1:10" ht="16.5" hidden="1" customHeight="1">
      <c r="A57" s="19"/>
      <c r="B57" s="13"/>
      <c r="C57" s="13"/>
      <c r="D57" s="61"/>
      <c r="E57" s="62"/>
      <c r="F57" s="62"/>
      <c r="G57" s="14"/>
      <c r="H57" s="13"/>
      <c r="I57" s="19"/>
      <c r="J57" s="37"/>
    </row>
    <row r="58" spans="1:10" hidden="1">
      <c r="A58" s="12">
        <v>5</v>
      </c>
      <c r="B58" s="7" t="s">
        <v>143</v>
      </c>
      <c r="C58" s="7"/>
      <c r="D58" s="61"/>
      <c r="E58" s="62"/>
      <c r="F58" s="62"/>
      <c r="G58" s="14"/>
      <c r="H58" s="13"/>
      <c r="I58" s="19"/>
      <c r="J58" s="37"/>
    </row>
    <row r="59" spans="1:10" ht="16.5" hidden="1" customHeight="1">
      <c r="A59" s="39" t="s">
        <v>8</v>
      </c>
      <c r="B59" s="40" t="s">
        <v>138</v>
      </c>
      <c r="C59" s="40"/>
      <c r="D59" s="61"/>
      <c r="E59" s="62">
        <v>1000</v>
      </c>
      <c r="F59" s="62">
        <f t="shared" ref="F59:F64" si="4">0.001*D59*E59</f>
        <v>0</v>
      </c>
      <c r="G59" s="14"/>
      <c r="H59" s="13" t="s">
        <v>10</v>
      </c>
      <c r="I59" s="19"/>
      <c r="J59" s="37"/>
    </row>
    <row r="60" spans="1:10" ht="16.5" hidden="1" customHeight="1">
      <c r="A60" s="39" t="s">
        <v>11</v>
      </c>
      <c r="B60" s="23" t="s">
        <v>17</v>
      </c>
      <c r="C60" s="23" t="s">
        <v>18</v>
      </c>
      <c r="D60" s="61"/>
      <c r="E60" s="62">
        <v>5</v>
      </c>
      <c r="F60" s="62">
        <f t="shared" si="4"/>
        <v>0</v>
      </c>
      <c r="G60" s="14"/>
      <c r="H60" s="13" t="s">
        <v>139</v>
      </c>
      <c r="I60" s="19"/>
      <c r="J60" s="37"/>
    </row>
    <row r="61" spans="1:10" ht="16.5" hidden="1" customHeight="1">
      <c r="A61" s="19" t="s">
        <v>13</v>
      </c>
      <c r="B61" s="41" t="s">
        <v>140</v>
      </c>
      <c r="C61" s="40" t="s">
        <v>15</v>
      </c>
      <c r="D61" s="61"/>
      <c r="E61" s="62">
        <v>6201</v>
      </c>
      <c r="F61" s="62">
        <f t="shared" si="4"/>
        <v>0</v>
      </c>
      <c r="G61" s="14"/>
      <c r="H61" s="13" t="s">
        <v>10</v>
      </c>
      <c r="I61" s="19"/>
      <c r="J61" s="37"/>
    </row>
    <row r="62" spans="1:10" ht="16.5" hidden="1" customHeight="1">
      <c r="A62" s="19" t="s">
        <v>16</v>
      </c>
      <c r="B62" s="41" t="s">
        <v>24</v>
      </c>
      <c r="C62" s="41" t="s">
        <v>27</v>
      </c>
      <c r="D62" s="67"/>
      <c r="E62" s="62">
        <v>15</v>
      </c>
      <c r="F62" s="62">
        <f t="shared" si="4"/>
        <v>0</v>
      </c>
      <c r="G62" s="14"/>
      <c r="H62" s="13" t="s">
        <v>139</v>
      </c>
      <c r="I62" s="19"/>
      <c r="J62" s="37"/>
    </row>
    <row r="63" spans="1:10" hidden="1">
      <c r="A63" s="19" t="s">
        <v>19</v>
      </c>
      <c r="B63" s="41" t="s">
        <v>141</v>
      </c>
      <c r="C63" s="41" t="s">
        <v>27</v>
      </c>
      <c r="D63" s="67"/>
      <c r="E63" s="62">
        <v>40</v>
      </c>
      <c r="F63" s="62">
        <f t="shared" si="4"/>
        <v>0</v>
      </c>
      <c r="G63" s="14"/>
      <c r="H63" s="13" t="s">
        <v>139</v>
      </c>
      <c r="I63" s="19"/>
      <c r="J63" s="37"/>
    </row>
    <row r="64" spans="1:10" ht="16.5" hidden="1" customHeight="1">
      <c r="A64" s="26" t="s">
        <v>21</v>
      </c>
      <c r="B64" s="27" t="s">
        <v>20</v>
      </c>
      <c r="C64" s="27"/>
      <c r="D64" s="63"/>
      <c r="E64" s="64"/>
      <c r="F64" s="64">
        <f t="shared" si="4"/>
        <v>0</v>
      </c>
      <c r="G64" s="29"/>
      <c r="H64" s="28"/>
      <c r="I64" s="19"/>
      <c r="J64" s="37"/>
    </row>
    <row r="65" spans="1:10" ht="16.5" hidden="1" customHeight="1">
      <c r="A65" s="19" t="s">
        <v>35</v>
      </c>
      <c r="B65" s="21" t="s">
        <v>144</v>
      </c>
      <c r="C65" s="21"/>
      <c r="D65" s="61"/>
      <c r="E65" s="62"/>
      <c r="F65" s="62">
        <f>SUM(F59:F64)</f>
        <v>0</v>
      </c>
      <c r="G65" s="14"/>
      <c r="H65" s="13"/>
      <c r="I65" s="19"/>
      <c r="J65" s="37"/>
    </row>
    <row r="66" spans="1:10" ht="16.5" hidden="1" customHeight="1">
      <c r="A66" s="19"/>
      <c r="B66" s="13"/>
      <c r="C66" s="13"/>
      <c r="D66" s="61"/>
      <c r="E66" s="62"/>
      <c r="F66" s="62"/>
      <c r="G66" s="14"/>
      <c r="H66" s="13"/>
      <c r="I66" s="19"/>
      <c r="J66" s="37"/>
    </row>
    <row r="67" spans="1:10" ht="16.5" hidden="1" customHeight="1">
      <c r="A67" s="12">
        <v>7</v>
      </c>
      <c r="B67" s="7" t="s">
        <v>145</v>
      </c>
      <c r="C67" s="7"/>
      <c r="D67" s="61"/>
      <c r="E67" s="62"/>
      <c r="F67" s="62"/>
      <c r="G67" s="14"/>
      <c r="H67" s="13"/>
      <c r="I67" s="19"/>
      <c r="J67" s="37"/>
    </row>
    <row r="68" spans="1:10" ht="16.5" hidden="1" customHeight="1">
      <c r="A68" s="19" t="s">
        <v>8</v>
      </c>
      <c r="B68" s="41" t="s">
        <v>140</v>
      </c>
      <c r="C68" s="41" t="s">
        <v>15</v>
      </c>
      <c r="D68" s="61"/>
      <c r="E68" s="62">
        <v>6200</v>
      </c>
      <c r="F68" s="62">
        <f>0.001*D68*E68</f>
        <v>0</v>
      </c>
      <c r="G68" s="14"/>
      <c r="H68" s="13" t="s">
        <v>10</v>
      </c>
      <c r="I68" s="19"/>
      <c r="J68" s="37"/>
    </row>
    <row r="69" spans="1:10" ht="16.5" hidden="1" customHeight="1">
      <c r="A69" s="19" t="s">
        <v>11</v>
      </c>
      <c r="B69" s="40" t="s">
        <v>24</v>
      </c>
      <c r="C69" s="40" t="s">
        <v>27</v>
      </c>
      <c r="D69" s="67"/>
      <c r="E69" s="62">
        <v>20</v>
      </c>
      <c r="F69" s="62">
        <f>0.001*D69*E69</f>
        <v>0</v>
      </c>
      <c r="G69" s="14"/>
      <c r="H69" s="13" t="s">
        <v>146</v>
      </c>
      <c r="I69" s="19"/>
      <c r="J69" s="37"/>
    </row>
    <row r="70" spans="1:10" hidden="1">
      <c r="A70" s="19" t="s">
        <v>13</v>
      </c>
      <c r="B70" s="20" t="s">
        <v>147</v>
      </c>
      <c r="C70" s="20" t="s">
        <v>27</v>
      </c>
      <c r="D70" s="67"/>
      <c r="E70" s="62">
        <v>40</v>
      </c>
      <c r="F70" s="62">
        <f>0.001*D70*E70</f>
        <v>0</v>
      </c>
      <c r="G70" s="14"/>
      <c r="H70" s="13" t="s">
        <v>146</v>
      </c>
      <c r="I70" s="19"/>
      <c r="J70" s="37"/>
    </row>
    <row r="71" spans="1:10" ht="16.5" hidden="1" customHeight="1">
      <c r="A71" s="19" t="s">
        <v>16</v>
      </c>
      <c r="B71" s="20" t="s">
        <v>57</v>
      </c>
      <c r="C71" s="20" t="s">
        <v>27</v>
      </c>
      <c r="D71" s="61"/>
      <c r="E71" s="62">
        <v>450</v>
      </c>
      <c r="F71" s="62">
        <f>0.001*D71*E71</f>
        <v>0</v>
      </c>
      <c r="G71" s="14"/>
      <c r="H71" s="13" t="s">
        <v>10</v>
      </c>
      <c r="I71" s="19"/>
      <c r="J71" s="37"/>
    </row>
    <row r="72" spans="1:10" ht="16.5" hidden="1" customHeight="1">
      <c r="A72" s="26" t="s">
        <v>16</v>
      </c>
      <c r="B72" s="27" t="s">
        <v>20</v>
      </c>
      <c r="C72" s="27"/>
      <c r="D72" s="63"/>
      <c r="E72" s="64"/>
      <c r="F72" s="64">
        <f>0.001*D72*E72</f>
        <v>0</v>
      </c>
      <c r="G72" s="29"/>
      <c r="H72" s="28"/>
      <c r="I72" s="19"/>
      <c r="J72" s="37"/>
    </row>
    <row r="73" spans="1:10" ht="16.5" hidden="1" customHeight="1">
      <c r="A73" s="19" t="s">
        <v>19</v>
      </c>
      <c r="B73" s="39" t="s">
        <v>148</v>
      </c>
      <c r="C73" s="19"/>
      <c r="D73" s="61"/>
      <c r="E73" s="62"/>
      <c r="F73" s="62">
        <f>SUM(F68:F72)</f>
        <v>0</v>
      </c>
      <c r="G73" s="14"/>
      <c r="H73" s="13"/>
      <c r="I73" s="19"/>
      <c r="J73" s="37"/>
    </row>
    <row r="74" spans="1:10" ht="16.5" customHeight="1">
      <c r="A74" s="19"/>
      <c r="B74" s="13"/>
      <c r="C74" s="13"/>
      <c r="D74" s="61"/>
      <c r="E74" s="62"/>
      <c r="F74" s="62"/>
      <c r="G74" s="14"/>
      <c r="H74" s="13"/>
      <c r="I74" s="19"/>
      <c r="J74" s="37"/>
    </row>
    <row r="75" spans="1:10" ht="16.5" customHeight="1">
      <c r="A75" s="12">
        <v>8</v>
      </c>
      <c r="B75" s="7" t="s">
        <v>58</v>
      </c>
      <c r="C75" s="7"/>
      <c r="D75" s="61"/>
      <c r="E75" s="62"/>
      <c r="F75" s="62"/>
      <c r="G75" s="14"/>
      <c r="H75" s="13"/>
      <c r="I75" s="19"/>
      <c r="J75" s="37"/>
    </row>
    <row r="76" spans="1:10" ht="16.5" customHeight="1">
      <c r="A76" s="19" t="s">
        <v>8</v>
      </c>
      <c r="B76" s="23" t="s">
        <v>163</v>
      </c>
      <c r="C76" s="20"/>
      <c r="D76" s="61">
        <v>1</v>
      </c>
      <c r="E76" s="239">
        <v>40000</v>
      </c>
      <c r="F76" s="239">
        <f t="shared" ref="F76:F81" si="5">0.001*D76*E76</f>
        <v>40</v>
      </c>
      <c r="G76" s="240"/>
      <c r="H76" s="142" t="s">
        <v>396</v>
      </c>
      <c r="I76" s="19"/>
      <c r="J76" s="37"/>
    </row>
    <row r="77" spans="1:10" ht="16.5" customHeight="1">
      <c r="A77" s="19" t="s">
        <v>11</v>
      </c>
      <c r="B77" s="20" t="s">
        <v>59</v>
      </c>
      <c r="C77" s="20"/>
      <c r="D77" s="191">
        <v>0</v>
      </c>
      <c r="E77" s="239">
        <v>20000</v>
      </c>
      <c r="F77" s="239">
        <f t="shared" si="5"/>
        <v>0</v>
      </c>
      <c r="G77" s="240"/>
      <c r="H77" s="142" t="s">
        <v>245</v>
      </c>
      <c r="I77" s="19"/>
      <c r="J77" s="37"/>
    </row>
    <row r="78" spans="1:10" ht="16.5" customHeight="1">
      <c r="A78" s="19" t="s">
        <v>13</v>
      </c>
      <c r="B78" s="20" t="s">
        <v>60</v>
      </c>
      <c r="C78" s="20"/>
      <c r="D78" s="61">
        <v>0</v>
      </c>
      <c r="E78" s="62">
        <v>5000</v>
      </c>
      <c r="F78" s="62">
        <f t="shared" si="5"/>
        <v>0</v>
      </c>
      <c r="G78" s="14"/>
      <c r="H78" s="142" t="s">
        <v>378</v>
      </c>
      <c r="I78" s="19"/>
      <c r="J78" s="37"/>
    </row>
    <row r="79" spans="1:10" ht="16.5" customHeight="1">
      <c r="A79" s="39" t="s">
        <v>16</v>
      </c>
      <c r="B79" s="23" t="s">
        <v>61</v>
      </c>
      <c r="C79" s="23" t="s">
        <v>15</v>
      </c>
      <c r="D79" s="191">
        <v>1.5</v>
      </c>
      <c r="E79" s="239">
        <v>60000</v>
      </c>
      <c r="F79" s="239">
        <f t="shared" si="5"/>
        <v>90</v>
      </c>
      <c r="G79" s="240"/>
      <c r="H79" s="142" t="s">
        <v>289</v>
      </c>
      <c r="I79" s="19"/>
      <c r="J79" s="37"/>
    </row>
    <row r="80" spans="1:10" ht="16.5" customHeight="1">
      <c r="A80" s="39" t="s">
        <v>19</v>
      </c>
      <c r="B80" s="20" t="s">
        <v>62</v>
      </c>
      <c r="C80" s="20"/>
      <c r="D80" s="61">
        <v>1</v>
      </c>
      <c r="E80" s="62">
        <v>20000</v>
      </c>
      <c r="F80" s="62">
        <f t="shared" si="5"/>
        <v>20</v>
      </c>
      <c r="G80" s="14"/>
      <c r="H80" s="13" t="s">
        <v>10</v>
      </c>
      <c r="I80" s="19"/>
      <c r="J80" s="37"/>
    </row>
    <row r="81" spans="1:10" ht="16.5" customHeight="1">
      <c r="A81" s="42" t="s">
        <v>21</v>
      </c>
      <c r="B81" s="27" t="s">
        <v>149</v>
      </c>
      <c r="C81" s="27"/>
      <c r="D81" s="63">
        <v>1</v>
      </c>
      <c r="E81" s="64">
        <v>7500</v>
      </c>
      <c r="F81" s="64">
        <f t="shared" si="5"/>
        <v>7.5</v>
      </c>
      <c r="G81" s="29"/>
      <c r="H81" s="28" t="s">
        <v>10</v>
      </c>
      <c r="I81" s="19"/>
      <c r="J81" s="37"/>
    </row>
    <row r="82" spans="1:10" ht="16.5" customHeight="1">
      <c r="A82" s="39" t="s">
        <v>35</v>
      </c>
      <c r="B82" s="39" t="s">
        <v>63</v>
      </c>
      <c r="C82" s="13"/>
      <c r="D82" s="61"/>
      <c r="E82" s="62"/>
      <c r="F82" s="62">
        <f>SUM(F76:F81)</f>
        <v>157.5</v>
      </c>
      <c r="G82" s="14"/>
      <c r="H82" s="13"/>
      <c r="I82" s="19"/>
      <c r="J82" s="37"/>
    </row>
    <row r="83" spans="1:10" ht="16.5" customHeight="1">
      <c r="A83" s="19"/>
      <c r="B83" s="13"/>
      <c r="C83" s="13"/>
      <c r="D83" s="61"/>
      <c r="E83" s="62"/>
      <c r="F83" s="62"/>
      <c r="G83" s="14"/>
      <c r="H83" s="13"/>
      <c r="I83" s="19"/>
      <c r="J83" s="37"/>
    </row>
    <row r="84" spans="1:10" ht="16.5" customHeight="1">
      <c r="A84" s="12">
        <v>9</v>
      </c>
      <c r="B84" s="7" t="s">
        <v>247</v>
      </c>
      <c r="C84" s="7"/>
      <c r="D84" s="61"/>
      <c r="E84" s="62"/>
      <c r="F84" s="62"/>
      <c r="G84" s="14"/>
      <c r="H84" s="13"/>
      <c r="I84" s="19"/>
      <c r="J84" s="37"/>
    </row>
    <row r="85" spans="1:10" ht="16.5" customHeight="1">
      <c r="A85" s="19" t="s">
        <v>8</v>
      </c>
      <c r="B85" s="172" t="s">
        <v>248</v>
      </c>
      <c r="C85" s="41" t="s">
        <v>64</v>
      </c>
      <c r="D85" s="191">
        <v>2</v>
      </c>
      <c r="E85" s="239">
        <v>50000</v>
      </c>
      <c r="F85" s="239">
        <f t="shared" ref="F85:F90" si="6">0.001*D85*E85</f>
        <v>100</v>
      </c>
      <c r="G85" s="240"/>
      <c r="H85" s="142" t="s">
        <v>10</v>
      </c>
      <c r="I85" s="19"/>
      <c r="J85" s="37"/>
    </row>
    <row r="86" spans="1:10" ht="16.5" customHeight="1">
      <c r="A86" s="19" t="s">
        <v>11</v>
      </c>
      <c r="B86" s="41" t="s">
        <v>65</v>
      </c>
      <c r="C86" s="41" t="s">
        <v>64</v>
      </c>
      <c r="D86" s="191">
        <v>2</v>
      </c>
      <c r="E86" s="239">
        <v>75000</v>
      </c>
      <c r="F86" s="239">
        <f t="shared" si="6"/>
        <v>150</v>
      </c>
      <c r="G86" s="240"/>
      <c r="H86" s="142" t="s">
        <v>287</v>
      </c>
      <c r="I86" s="19"/>
      <c r="J86" s="37"/>
    </row>
    <row r="87" spans="1:10" ht="16.5" customHeight="1">
      <c r="A87" s="19" t="s">
        <v>13</v>
      </c>
      <c r="B87" s="172" t="s">
        <v>249</v>
      </c>
      <c r="C87" s="41"/>
      <c r="D87" s="191">
        <v>1</v>
      </c>
      <c r="E87" s="239">
        <v>50000</v>
      </c>
      <c r="F87" s="239">
        <f t="shared" si="6"/>
        <v>50</v>
      </c>
      <c r="G87" s="240"/>
      <c r="H87" s="142" t="s">
        <v>10</v>
      </c>
      <c r="I87" s="19"/>
      <c r="J87" s="37"/>
    </row>
    <row r="88" spans="1:10">
      <c r="A88" s="19" t="s">
        <v>16</v>
      </c>
      <c r="B88" s="172" t="s">
        <v>250</v>
      </c>
      <c r="C88" s="41"/>
      <c r="D88" s="191">
        <v>1</v>
      </c>
      <c r="E88" s="239">
        <v>25000</v>
      </c>
      <c r="F88" s="239">
        <f t="shared" si="6"/>
        <v>25</v>
      </c>
      <c r="G88" s="240"/>
      <c r="H88" s="142" t="s">
        <v>10</v>
      </c>
      <c r="I88" s="19"/>
      <c r="J88" s="37"/>
    </row>
    <row r="89" spans="1:10" ht="16.5" customHeight="1">
      <c r="A89" s="19" t="s">
        <v>19</v>
      </c>
      <c r="B89" s="41" t="s">
        <v>66</v>
      </c>
      <c r="C89" s="41"/>
      <c r="D89" s="191">
        <v>1</v>
      </c>
      <c r="E89" s="239">
        <v>25000</v>
      </c>
      <c r="F89" s="239">
        <f t="shared" si="6"/>
        <v>25</v>
      </c>
      <c r="G89" s="240"/>
      <c r="H89" s="142" t="s">
        <v>10</v>
      </c>
      <c r="I89" s="19"/>
      <c r="J89" s="37"/>
    </row>
    <row r="90" spans="1:10" ht="16.5" customHeight="1">
      <c r="A90" s="26" t="s">
        <v>21</v>
      </c>
      <c r="B90" s="192" t="s">
        <v>251</v>
      </c>
      <c r="C90" s="27"/>
      <c r="D90" s="184">
        <v>1</v>
      </c>
      <c r="E90" s="242">
        <v>50000</v>
      </c>
      <c r="F90" s="242">
        <f t="shared" si="6"/>
        <v>50</v>
      </c>
      <c r="G90" s="243"/>
      <c r="H90" s="238" t="s">
        <v>273</v>
      </c>
      <c r="I90" s="19"/>
      <c r="J90" s="37"/>
    </row>
    <row r="91" spans="1:10" ht="16.5" customHeight="1">
      <c r="A91" s="19" t="s">
        <v>35</v>
      </c>
      <c r="B91" s="185" t="s">
        <v>322</v>
      </c>
      <c r="C91" s="21"/>
      <c r="D91" s="61"/>
      <c r="E91" s="62"/>
      <c r="F91" s="62">
        <f>SUM(F85:F90)</f>
        <v>400</v>
      </c>
      <c r="G91" s="14"/>
      <c r="H91" s="13"/>
      <c r="I91" s="19"/>
      <c r="J91" s="37"/>
    </row>
    <row r="92" spans="1:10" ht="16.5" customHeight="1">
      <c r="A92" s="19"/>
      <c r="B92" s="13"/>
      <c r="C92" s="13"/>
      <c r="D92" s="61"/>
      <c r="E92" s="62"/>
      <c r="F92" s="62"/>
      <c r="G92" s="14"/>
      <c r="H92" s="13"/>
      <c r="I92" s="19"/>
      <c r="J92" s="37"/>
    </row>
    <row r="93" spans="1:10" ht="16.5" customHeight="1">
      <c r="A93" s="12">
        <v>10</v>
      </c>
      <c r="B93" s="7" t="s">
        <v>67</v>
      </c>
      <c r="C93" s="7"/>
      <c r="D93" s="61"/>
      <c r="E93" s="62"/>
      <c r="F93" s="62"/>
      <c r="G93" s="14"/>
      <c r="H93" s="13"/>
      <c r="I93" s="19"/>
      <c r="J93" s="37"/>
    </row>
    <row r="94" spans="1:10" ht="16.5" customHeight="1">
      <c r="A94" s="19" t="s">
        <v>8</v>
      </c>
      <c r="B94" s="41" t="s">
        <v>68</v>
      </c>
      <c r="C94" s="41"/>
      <c r="D94" s="69">
        <v>1</v>
      </c>
      <c r="E94" s="66">
        <v>5000</v>
      </c>
      <c r="F94" s="62">
        <f>0.001*D94*E94</f>
        <v>5</v>
      </c>
      <c r="G94" s="14"/>
      <c r="H94" s="13" t="s">
        <v>10</v>
      </c>
      <c r="I94" s="19"/>
      <c r="J94" s="37"/>
    </row>
    <row r="95" spans="1:10">
      <c r="A95" s="19" t="s">
        <v>11</v>
      </c>
      <c r="B95" s="41" t="s">
        <v>69</v>
      </c>
      <c r="C95" s="41"/>
      <c r="D95" s="246">
        <v>1</v>
      </c>
      <c r="E95" s="247">
        <v>20000</v>
      </c>
      <c r="F95" s="239">
        <f>0.001*D95*E95</f>
        <v>20</v>
      </c>
      <c r="G95" s="240"/>
      <c r="H95" s="176" t="s">
        <v>290</v>
      </c>
      <c r="I95" s="19"/>
      <c r="J95" s="37"/>
    </row>
    <row r="96" spans="1:10" ht="16.5" customHeight="1">
      <c r="A96" s="19" t="s">
        <v>13</v>
      </c>
      <c r="B96" s="41" t="s">
        <v>70</v>
      </c>
      <c r="C96" s="41"/>
      <c r="D96" s="69">
        <v>1</v>
      </c>
      <c r="E96" s="66">
        <v>5000</v>
      </c>
      <c r="F96" s="62">
        <f>0.001*D96*E96</f>
        <v>5</v>
      </c>
      <c r="G96" s="14"/>
      <c r="H96" s="13" t="s">
        <v>10</v>
      </c>
      <c r="I96" s="19"/>
      <c r="J96" s="37"/>
    </row>
    <row r="97" spans="1:10" ht="15.75" customHeight="1">
      <c r="A97" s="19" t="s">
        <v>16</v>
      </c>
      <c r="B97" s="41" t="s">
        <v>71</v>
      </c>
      <c r="C97" s="41"/>
      <c r="D97" s="69">
        <v>1</v>
      </c>
      <c r="E97" s="66">
        <v>10000</v>
      </c>
      <c r="F97" s="62">
        <f>0.001*D97*E97</f>
        <v>10</v>
      </c>
      <c r="G97" s="14"/>
      <c r="H97" s="13" t="s">
        <v>10</v>
      </c>
      <c r="I97" s="19"/>
      <c r="J97" s="37"/>
    </row>
    <row r="98" spans="1:10" ht="16.5" customHeight="1">
      <c r="A98" s="26" t="s">
        <v>19</v>
      </c>
      <c r="B98" s="27" t="s">
        <v>20</v>
      </c>
      <c r="C98" s="27"/>
      <c r="D98" s="63"/>
      <c r="E98" s="64"/>
      <c r="F98" s="64">
        <f>0.001*D98*E98</f>
        <v>0</v>
      </c>
      <c r="G98" s="29"/>
      <c r="H98" s="28"/>
      <c r="I98" s="19"/>
      <c r="J98" s="37"/>
    </row>
    <row r="99" spans="1:10" ht="16.5" customHeight="1">
      <c r="A99" s="19" t="s">
        <v>21</v>
      </c>
      <c r="B99" s="39" t="s">
        <v>72</v>
      </c>
      <c r="C99" s="39"/>
      <c r="D99" s="61"/>
      <c r="E99" s="62"/>
      <c r="F99" s="62">
        <f>SUM(F94:F98)</f>
        <v>40</v>
      </c>
      <c r="G99" s="14"/>
      <c r="H99" s="13"/>
      <c r="I99" s="19"/>
      <c r="J99" s="37"/>
    </row>
    <row r="100" spans="1:10" ht="16.5" customHeight="1">
      <c r="A100" s="13"/>
      <c r="B100" s="13"/>
      <c r="C100" s="13"/>
      <c r="D100" s="61"/>
      <c r="E100" s="62"/>
      <c r="F100" s="62"/>
      <c r="G100" s="14"/>
      <c r="H100" s="13"/>
      <c r="I100" s="19"/>
      <c r="J100" s="37"/>
    </row>
    <row r="101" spans="1:10" ht="16.5" customHeight="1">
      <c r="A101" s="12">
        <v>11</v>
      </c>
      <c r="B101" s="7" t="s">
        <v>73</v>
      </c>
      <c r="C101" s="7"/>
      <c r="D101" s="61"/>
      <c r="E101" s="62"/>
      <c r="F101" s="62"/>
      <c r="G101" s="14"/>
      <c r="H101" s="13"/>
      <c r="I101" s="19"/>
      <c r="J101" s="37"/>
    </row>
    <row r="102" spans="1:10" ht="16.5" customHeight="1">
      <c r="A102" s="19" t="s">
        <v>8</v>
      </c>
      <c r="B102" s="20" t="s">
        <v>14</v>
      </c>
      <c r="C102" s="20" t="s">
        <v>15</v>
      </c>
      <c r="D102" s="191">
        <v>1</v>
      </c>
      <c r="E102" s="239">
        <v>6200</v>
      </c>
      <c r="F102" s="239">
        <f>0.001*D102*E102</f>
        <v>6.2</v>
      </c>
      <c r="G102" s="240"/>
      <c r="H102" s="142" t="s">
        <v>10</v>
      </c>
      <c r="I102" s="19"/>
      <c r="J102" s="37"/>
    </row>
    <row r="103" spans="1:10" ht="16.5" customHeight="1">
      <c r="A103" s="19" t="s">
        <v>11</v>
      </c>
      <c r="B103" s="20" t="s">
        <v>74</v>
      </c>
      <c r="C103" s="20"/>
      <c r="D103" s="191">
        <v>1</v>
      </c>
      <c r="E103" s="239">
        <f>'Interconnect Costs'!K6</f>
        <v>52000</v>
      </c>
      <c r="F103" s="239">
        <f>0.001*D103*E103</f>
        <v>52</v>
      </c>
      <c r="G103" s="240"/>
      <c r="H103" s="142" t="s">
        <v>274</v>
      </c>
      <c r="I103" s="19"/>
      <c r="J103" s="37"/>
    </row>
    <row r="104" spans="1:10" ht="16.5" customHeight="1">
      <c r="A104" s="19" t="s">
        <v>13</v>
      </c>
      <c r="B104" s="20" t="s">
        <v>75</v>
      </c>
      <c r="C104" s="20"/>
      <c r="D104" s="191">
        <v>1</v>
      </c>
      <c r="E104" s="239">
        <v>10000</v>
      </c>
      <c r="F104" s="239">
        <f>0.001*D104*E104</f>
        <v>10</v>
      </c>
      <c r="G104" s="240"/>
      <c r="H104" s="142" t="s">
        <v>10</v>
      </c>
      <c r="I104" s="19"/>
      <c r="J104" s="37"/>
    </row>
    <row r="105" spans="1:10" ht="32.25" customHeight="1">
      <c r="A105" s="19" t="s">
        <v>13</v>
      </c>
      <c r="B105" s="20" t="s">
        <v>76</v>
      </c>
      <c r="C105" s="20"/>
      <c r="D105" s="191">
        <v>1</v>
      </c>
      <c r="E105" s="239">
        <f>'Interconnect Costs'!K7+'Interconnect Costs'!K8+'Interconnect Costs'!K9</f>
        <v>50000</v>
      </c>
      <c r="F105" s="239">
        <f>0.001*D105*E105</f>
        <v>50</v>
      </c>
      <c r="G105" s="240"/>
      <c r="H105" s="142" t="s">
        <v>267</v>
      </c>
      <c r="I105" s="19"/>
      <c r="J105" s="37"/>
    </row>
    <row r="106" spans="1:10" ht="16.5" customHeight="1">
      <c r="A106" s="26" t="s">
        <v>16</v>
      </c>
      <c r="B106" s="192" t="s">
        <v>248</v>
      </c>
      <c r="C106" s="27"/>
      <c r="D106" s="184">
        <v>1</v>
      </c>
      <c r="E106" s="242">
        <v>20000</v>
      </c>
      <c r="F106" s="242">
        <f>0.001*D106*E106</f>
        <v>20</v>
      </c>
      <c r="G106" s="243"/>
      <c r="H106" s="238" t="s">
        <v>10</v>
      </c>
      <c r="I106" s="19"/>
      <c r="J106" s="37"/>
    </row>
    <row r="107" spans="1:10">
      <c r="A107" s="19" t="s">
        <v>21</v>
      </c>
      <c r="B107" s="19" t="s">
        <v>77</v>
      </c>
      <c r="C107" s="19"/>
      <c r="D107" s="191"/>
      <c r="E107" s="239"/>
      <c r="F107" s="239">
        <f>SUM(F102:F106)</f>
        <v>138.19999999999999</v>
      </c>
      <c r="G107" s="240"/>
      <c r="H107" s="142"/>
      <c r="I107" s="19"/>
      <c r="J107" s="37"/>
    </row>
    <row r="108" spans="1:10" ht="16.5" customHeight="1">
      <c r="A108" s="13"/>
      <c r="B108" s="13"/>
      <c r="C108" s="13"/>
      <c r="D108" s="61"/>
      <c r="E108" s="62"/>
      <c r="F108" s="62"/>
      <c r="G108" s="14"/>
      <c r="H108" s="13"/>
      <c r="I108" s="19"/>
      <c r="J108" s="37"/>
    </row>
    <row r="109" spans="1:10" ht="16.5" customHeight="1">
      <c r="A109" s="12">
        <v>12</v>
      </c>
      <c r="B109" s="7" t="s">
        <v>78</v>
      </c>
      <c r="C109" s="7"/>
      <c r="D109" s="61"/>
      <c r="E109" s="62"/>
      <c r="F109" s="62"/>
      <c r="G109" s="14"/>
      <c r="H109" s="13"/>
      <c r="I109" s="19"/>
      <c r="J109" s="37"/>
    </row>
    <row r="110" spans="1:10" ht="16.5" customHeight="1">
      <c r="A110" s="19" t="s">
        <v>8</v>
      </c>
      <c r="B110" s="20" t="s">
        <v>79</v>
      </c>
      <c r="C110" s="20"/>
      <c r="D110" s="61">
        <v>1</v>
      </c>
      <c r="E110" s="62">
        <f>F130*1000*0.08</f>
        <v>256197.77832554572</v>
      </c>
      <c r="F110" s="62">
        <f t="shared" ref="F110:F115" si="7">0.001*D110*E110</f>
        <v>256.1977783255457</v>
      </c>
      <c r="G110" s="14"/>
      <c r="H110" s="36" t="s">
        <v>164</v>
      </c>
      <c r="I110" s="19"/>
      <c r="J110" s="37"/>
    </row>
    <row r="111" spans="1:10">
      <c r="A111" s="19" t="s">
        <v>11</v>
      </c>
      <c r="B111" s="20" t="s">
        <v>80</v>
      </c>
      <c r="C111" s="20"/>
      <c r="D111" s="61">
        <v>1</v>
      </c>
      <c r="E111" s="62">
        <v>25000</v>
      </c>
      <c r="F111" s="62">
        <f t="shared" si="7"/>
        <v>25</v>
      </c>
      <c r="G111" s="14"/>
      <c r="H111" s="13" t="s">
        <v>10</v>
      </c>
      <c r="I111" s="19"/>
      <c r="J111" s="37"/>
    </row>
    <row r="112" spans="1:10" ht="16.5" customHeight="1">
      <c r="A112" s="19" t="s">
        <v>13</v>
      </c>
      <c r="B112" s="20" t="s">
        <v>81</v>
      </c>
      <c r="C112" s="20"/>
      <c r="D112" s="61">
        <v>1</v>
      </c>
      <c r="E112" s="62">
        <v>20000</v>
      </c>
      <c r="F112" s="62">
        <f t="shared" si="7"/>
        <v>20</v>
      </c>
      <c r="G112" s="14"/>
      <c r="H112" s="13" t="s">
        <v>82</v>
      </c>
      <c r="I112" s="19"/>
      <c r="J112" s="37"/>
    </row>
    <row r="113" spans="1:10" ht="16.5" customHeight="1">
      <c r="A113" s="19" t="s">
        <v>16</v>
      </c>
      <c r="B113" s="20" t="s">
        <v>83</v>
      </c>
      <c r="C113" s="20"/>
      <c r="D113" s="61">
        <v>1</v>
      </c>
      <c r="E113" s="62">
        <v>35000</v>
      </c>
      <c r="F113" s="62">
        <f t="shared" si="7"/>
        <v>35</v>
      </c>
      <c r="G113" s="14"/>
      <c r="H113" s="13" t="s">
        <v>91</v>
      </c>
      <c r="I113" s="19"/>
      <c r="J113" s="37"/>
    </row>
    <row r="114" spans="1:10">
      <c r="A114" s="19" t="s">
        <v>19</v>
      </c>
      <c r="B114" s="20" t="s">
        <v>84</v>
      </c>
      <c r="C114" s="20"/>
      <c r="D114" s="61">
        <v>1</v>
      </c>
      <c r="E114" s="62">
        <v>100000</v>
      </c>
      <c r="F114" s="62">
        <f t="shared" si="7"/>
        <v>100</v>
      </c>
      <c r="G114" s="14"/>
      <c r="H114" s="13" t="s">
        <v>10</v>
      </c>
      <c r="I114" s="19"/>
      <c r="J114" s="37"/>
    </row>
    <row r="115" spans="1:10" ht="16.5" customHeight="1">
      <c r="A115" s="26" t="s">
        <v>21</v>
      </c>
      <c r="B115" s="27" t="s">
        <v>20</v>
      </c>
      <c r="C115" s="27"/>
      <c r="D115" s="63"/>
      <c r="E115" s="64"/>
      <c r="F115" s="64">
        <f t="shared" si="7"/>
        <v>0</v>
      </c>
      <c r="G115" s="29"/>
      <c r="H115" s="28"/>
      <c r="I115" s="19"/>
      <c r="J115" s="37"/>
    </row>
    <row r="116" spans="1:10" ht="16.5" customHeight="1">
      <c r="A116" s="19" t="s">
        <v>35</v>
      </c>
      <c r="B116" s="19" t="s">
        <v>85</v>
      </c>
      <c r="C116" s="19"/>
      <c r="D116" s="61"/>
      <c r="E116" s="62"/>
      <c r="F116" s="62">
        <f>SUM(F110:F115)</f>
        <v>436.1977783255457</v>
      </c>
      <c r="G116" s="14"/>
      <c r="H116" s="13"/>
      <c r="I116" s="19"/>
      <c r="J116" s="37"/>
    </row>
    <row r="117" spans="1:10" ht="16.5" customHeight="1">
      <c r="A117" s="13"/>
      <c r="B117" s="13"/>
      <c r="C117" s="13"/>
      <c r="D117" s="61"/>
      <c r="E117" s="62"/>
      <c r="F117" s="62"/>
      <c r="G117" s="14"/>
      <c r="H117" s="13"/>
      <c r="I117" s="19"/>
      <c r="J117" s="37"/>
    </row>
    <row r="118" spans="1:10" ht="16.5" customHeight="1">
      <c r="A118" s="12"/>
      <c r="B118" s="7" t="s">
        <v>86</v>
      </c>
      <c r="C118" s="7"/>
      <c r="D118" s="61"/>
      <c r="E118" s="62"/>
      <c r="F118" s="62"/>
      <c r="G118" s="14"/>
      <c r="H118" s="13"/>
      <c r="I118" s="19"/>
      <c r="J118" s="37"/>
    </row>
    <row r="119" spans="1:10" ht="16.5" customHeight="1">
      <c r="A119" s="12">
        <f>A$2</f>
        <v>1</v>
      </c>
      <c r="B119" s="13" t="str">
        <f>B$2</f>
        <v>General</v>
      </c>
      <c r="C119" s="13"/>
      <c r="D119" s="61"/>
      <c r="E119" s="62"/>
      <c r="F119" s="62">
        <f>F$8</f>
        <v>177</v>
      </c>
      <c r="G119" s="14"/>
      <c r="H119" s="13"/>
      <c r="I119" s="19"/>
      <c r="J119" s="37"/>
    </row>
    <row r="120" spans="1:10" ht="16.5" customHeight="1">
      <c r="A120" s="12">
        <f>A$10</f>
        <v>2</v>
      </c>
      <c r="B120" s="13" t="str">
        <f>B$10</f>
        <v>Powerhouse/Intake</v>
      </c>
      <c r="C120" s="13"/>
      <c r="D120" s="61"/>
      <c r="E120" s="62"/>
      <c r="F120" s="62">
        <f>F$30</f>
        <v>1605.5001170693213</v>
      </c>
      <c r="G120" s="14"/>
      <c r="H120" s="13"/>
      <c r="I120" s="19"/>
      <c r="J120" s="37"/>
    </row>
    <row r="121" spans="1:10" ht="16.5" customHeight="1">
      <c r="A121" s="12">
        <f>A$32</f>
        <v>3</v>
      </c>
      <c r="B121" s="13" t="str">
        <f>B$32</f>
        <v>Equipment</v>
      </c>
      <c r="C121" s="13"/>
      <c r="D121" s="61"/>
      <c r="E121" s="62"/>
      <c r="F121" s="62">
        <f>F$39</f>
        <v>684.27211199999999</v>
      </c>
      <c r="G121" s="14"/>
      <c r="H121" s="13"/>
      <c r="I121" s="19"/>
      <c r="J121" s="37"/>
    </row>
    <row r="122" spans="1:10" ht="16.5" hidden="1" customHeight="1">
      <c r="A122" s="43">
        <f>A$41</f>
        <v>4</v>
      </c>
      <c r="B122" s="11" t="str">
        <f>B$41</f>
        <v xml:space="preserve">Spillway </v>
      </c>
      <c r="E122" s="66"/>
      <c r="F122" s="66">
        <f>F$47</f>
        <v>0</v>
      </c>
      <c r="G122" s="44"/>
      <c r="I122" s="19"/>
      <c r="J122" s="37"/>
    </row>
    <row r="123" spans="1:10" ht="16.5" hidden="1" customHeight="1">
      <c r="A123" s="43">
        <f>A$49</f>
        <v>5</v>
      </c>
      <c r="B123" s="11" t="str">
        <f>B$49</f>
        <v>East (left) Dike</v>
      </c>
      <c r="E123" s="66"/>
      <c r="F123" s="66">
        <f>F$56</f>
        <v>0</v>
      </c>
      <c r="G123" s="33"/>
      <c r="I123" s="19"/>
      <c r="J123" s="37"/>
    </row>
    <row r="124" spans="1:10" ht="16.5" hidden="1" customHeight="1">
      <c r="A124" s="43">
        <f>A$58</f>
        <v>5</v>
      </c>
      <c r="B124" s="11" t="str">
        <f>B$58</f>
        <v>West (right) Dike</v>
      </c>
      <c r="E124" s="66"/>
      <c r="F124" s="66">
        <f>F$65</f>
        <v>0</v>
      </c>
      <c r="G124" s="33"/>
      <c r="I124" s="19"/>
      <c r="J124" s="37"/>
    </row>
    <row r="125" spans="1:10" ht="16.5" hidden="1" customHeight="1">
      <c r="A125" s="43">
        <f>A$67</f>
        <v>7</v>
      </c>
      <c r="B125" s="11" t="str">
        <f>B$67</f>
        <v>Canal</v>
      </c>
      <c r="E125" s="66"/>
      <c r="F125" s="66">
        <f>F$73</f>
        <v>0</v>
      </c>
      <c r="G125" s="33"/>
      <c r="I125" s="19"/>
      <c r="J125" s="37"/>
    </row>
    <row r="126" spans="1:10" ht="16.5" customHeight="1">
      <c r="A126" s="43">
        <f>A$75</f>
        <v>8</v>
      </c>
      <c r="B126" s="11" t="str">
        <f>B$75</f>
        <v>PM&amp;E Measures</v>
      </c>
      <c r="E126" s="66"/>
      <c r="F126" s="66">
        <f>F$82</f>
        <v>157.5</v>
      </c>
      <c r="G126" s="33"/>
      <c r="I126" s="19"/>
      <c r="J126" s="37"/>
    </row>
    <row r="127" spans="1:10" ht="16.5" customHeight="1">
      <c r="A127" s="43">
        <f>A$84</f>
        <v>9</v>
      </c>
      <c r="B127" s="176" t="s">
        <v>247</v>
      </c>
      <c r="E127" s="66"/>
      <c r="F127" s="66">
        <f>F$91</f>
        <v>400</v>
      </c>
      <c r="G127" s="33"/>
      <c r="I127" s="19"/>
      <c r="J127" s="37"/>
    </row>
    <row r="128" spans="1:10" ht="16.5" customHeight="1">
      <c r="A128" s="43">
        <f>A$93</f>
        <v>10</v>
      </c>
      <c r="B128" s="11" t="str">
        <f>B$93</f>
        <v>Land &amp; Land Rights</v>
      </c>
      <c r="E128" s="66"/>
      <c r="F128" s="66">
        <f>F$99</f>
        <v>40</v>
      </c>
      <c r="G128" s="33"/>
      <c r="I128" s="19"/>
      <c r="J128" s="37"/>
    </row>
    <row r="129" spans="1:10" ht="16.5" customHeight="1">
      <c r="A129" s="45">
        <f>A$101</f>
        <v>11</v>
      </c>
      <c r="B129" s="46" t="str">
        <f>B$101</f>
        <v>Interconnection</v>
      </c>
      <c r="C129" s="46"/>
      <c r="D129" s="70"/>
      <c r="E129" s="71"/>
      <c r="F129" s="71">
        <f>F$107</f>
        <v>138.19999999999999</v>
      </c>
      <c r="G129" s="47"/>
      <c r="H129" s="183"/>
      <c r="I129" s="19"/>
      <c r="J129" s="37"/>
    </row>
    <row r="130" spans="1:10" ht="16.5" customHeight="1">
      <c r="A130" s="43"/>
      <c r="B130" s="48" t="s">
        <v>87</v>
      </c>
      <c r="C130" s="48"/>
      <c r="E130" s="66"/>
      <c r="F130" s="66">
        <f>SUM(F119:F129)</f>
        <v>3202.4722290693212</v>
      </c>
      <c r="G130" s="33"/>
      <c r="I130" s="19"/>
      <c r="J130" s="37"/>
    </row>
    <row r="131" spans="1:10" ht="16.5" customHeight="1">
      <c r="A131" s="43"/>
      <c r="B131" s="48"/>
      <c r="C131" s="48"/>
      <c r="E131" s="66"/>
      <c r="F131" s="66"/>
      <c r="G131" s="33"/>
      <c r="I131" s="19"/>
      <c r="J131" s="37"/>
    </row>
    <row r="132" spans="1:10" ht="16.5" customHeight="1">
      <c r="A132" s="45">
        <f>A$109</f>
        <v>12</v>
      </c>
      <c r="B132" s="46" t="str">
        <f>B$109</f>
        <v>Indirect Costs</v>
      </c>
      <c r="C132" s="46"/>
      <c r="D132" s="70"/>
      <c r="E132" s="71"/>
      <c r="F132" s="71">
        <f>F$116</f>
        <v>436.1977783255457</v>
      </c>
      <c r="G132" s="47"/>
      <c r="H132" s="46"/>
      <c r="I132" s="19"/>
      <c r="J132" s="37"/>
    </row>
    <row r="133" spans="1:10" ht="16.5" customHeight="1">
      <c r="A133" s="43"/>
      <c r="B133" s="48" t="s">
        <v>88</v>
      </c>
      <c r="C133" s="48"/>
      <c r="E133" s="66"/>
      <c r="F133" s="72">
        <f>F$130+F$132</f>
        <v>3638.6700073948668</v>
      </c>
      <c r="G133" s="49"/>
      <c r="I133" s="19"/>
      <c r="J133" s="37"/>
    </row>
    <row r="134" spans="1:10" ht="16.5" customHeight="1">
      <c r="A134" s="43"/>
      <c r="B134" s="48"/>
      <c r="C134" s="48"/>
      <c r="E134" s="66"/>
      <c r="F134" s="72"/>
      <c r="G134" s="49"/>
      <c r="I134" s="19"/>
      <c r="J134" s="37"/>
    </row>
    <row r="135" spans="1:10" ht="16.5" customHeight="1">
      <c r="A135" s="45">
        <v>13</v>
      </c>
      <c r="B135" s="46" t="s">
        <v>89</v>
      </c>
      <c r="C135" s="46"/>
      <c r="D135" s="73">
        <f>F$133*1000</f>
        <v>3638670.007394867</v>
      </c>
      <c r="E135" s="245">
        <v>0.2</v>
      </c>
      <c r="F135" s="71">
        <f>D135*E135*0.001</f>
        <v>727.73400147897348</v>
      </c>
      <c r="G135" s="47"/>
      <c r="H135" s="46"/>
      <c r="I135" s="19"/>
      <c r="J135" s="37"/>
    </row>
    <row r="136" spans="1:10" ht="16.5" customHeight="1">
      <c r="E136" s="66"/>
      <c r="F136" s="66"/>
      <c r="G136" s="33"/>
      <c r="I136" s="19"/>
      <c r="J136" s="37"/>
    </row>
    <row r="137" spans="1:10" ht="16.5" customHeight="1">
      <c r="A137" s="12"/>
      <c r="B137" s="50" t="s">
        <v>90</v>
      </c>
      <c r="C137" s="7"/>
      <c r="D137" s="61"/>
      <c r="E137" s="62"/>
      <c r="F137" s="60">
        <f>F$133+F$135</f>
        <v>4366.4040088738402</v>
      </c>
      <c r="G137" s="8"/>
      <c r="H137" s="13"/>
      <c r="I137" s="19"/>
      <c r="J137" s="37"/>
    </row>
    <row r="138" spans="1:10">
      <c r="I138" s="19"/>
      <c r="J138" s="37"/>
    </row>
    <row r="139" spans="1:10">
      <c r="I139" s="19"/>
      <c r="J139" s="37"/>
    </row>
    <row r="140" spans="1:10">
      <c r="I140" s="19"/>
      <c r="J140" s="37"/>
    </row>
    <row r="141" spans="1:10">
      <c r="I141" s="19"/>
      <c r="J141" s="37"/>
    </row>
    <row r="142" spans="1:10">
      <c r="I142" s="19"/>
      <c r="J142" s="37"/>
    </row>
    <row r="143" spans="1:10">
      <c r="I143" s="19"/>
      <c r="J143" s="37"/>
    </row>
    <row r="144" spans="1:10">
      <c r="I144" s="19"/>
      <c r="J144" s="37"/>
    </row>
    <row r="145" spans="9:10">
      <c r="I145" s="19"/>
      <c r="J145" s="37"/>
    </row>
    <row r="146" spans="9:10">
      <c r="I146" s="19"/>
      <c r="J146" s="37"/>
    </row>
    <row r="147" spans="9:10">
      <c r="I147" s="19"/>
      <c r="J147" s="37"/>
    </row>
    <row r="148" spans="9:10">
      <c r="I148" s="19"/>
      <c r="J148" s="37"/>
    </row>
    <row r="149" spans="9:10">
      <c r="I149" s="19"/>
      <c r="J149" s="37"/>
    </row>
    <row r="150" spans="9:10">
      <c r="I150" s="19"/>
      <c r="J150" s="37"/>
    </row>
    <row r="151" spans="9:10">
      <c r="I151" s="19"/>
      <c r="J151" s="37"/>
    </row>
    <row r="152" spans="9:10">
      <c r="I152" s="19"/>
      <c r="J152" s="37"/>
    </row>
    <row r="153" spans="9:10">
      <c r="I153" s="19"/>
      <c r="J153" s="37"/>
    </row>
    <row r="154" spans="9:10">
      <c r="I154" s="19"/>
      <c r="J154" s="37"/>
    </row>
    <row r="155" spans="9:10">
      <c r="I155" s="19"/>
      <c r="J155" s="37"/>
    </row>
    <row r="156" spans="9:10">
      <c r="I156" s="19"/>
      <c r="J156" s="37"/>
    </row>
    <row r="157" spans="9:10">
      <c r="I157" s="19"/>
      <c r="J157" s="37"/>
    </row>
    <row r="158" spans="9:10">
      <c r="I158" s="19"/>
      <c r="J158" s="37"/>
    </row>
    <row r="159" spans="9:10">
      <c r="I159" s="19"/>
      <c r="J159" s="37"/>
    </row>
    <row r="160" spans="9:10">
      <c r="I160" s="19"/>
      <c r="J160" s="37"/>
    </row>
    <row r="161" spans="9:10">
      <c r="I161" s="19"/>
      <c r="J161" s="37"/>
    </row>
    <row r="162" spans="9:10">
      <c r="I162" s="19"/>
      <c r="J162" s="37"/>
    </row>
    <row r="163" spans="9:10">
      <c r="I163" s="19"/>
      <c r="J163" s="37"/>
    </row>
    <row r="164" spans="9:10">
      <c r="I164" s="19"/>
      <c r="J164" s="37"/>
    </row>
    <row r="165" spans="9:10">
      <c r="I165" s="19"/>
      <c r="J165" s="37"/>
    </row>
    <row r="166" spans="9:10">
      <c r="I166" s="19"/>
      <c r="J166" s="37"/>
    </row>
    <row r="167" spans="9:10">
      <c r="I167" s="19"/>
      <c r="J167" s="37"/>
    </row>
    <row r="168" spans="9:10">
      <c r="I168" s="19"/>
      <c r="J168" s="37"/>
    </row>
    <row r="169" spans="9:10">
      <c r="I169" s="19"/>
      <c r="J169" s="37"/>
    </row>
    <row r="170" spans="9:10">
      <c r="I170" s="19"/>
      <c r="J170" s="37"/>
    </row>
    <row r="171" spans="9:10">
      <c r="I171" s="19"/>
      <c r="J171" s="37"/>
    </row>
    <row r="172" spans="9:10">
      <c r="I172" s="19"/>
      <c r="J172" s="37"/>
    </row>
    <row r="173" spans="9:10">
      <c r="I173" s="19"/>
      <c r="J173" s="37"/>
    </row>
    <row r="174" spans="9:10">
      <c r="I174" s="19"/>
      <c r="J174" s="37"/>
    </row>
  </sheetData>
  <mergeCells count="1">
    <mergeCell ref="L3:S11"/>
  </mergeCells>
  <conditionalFormatting sqref="I24:N65536 I3:I5 I17:I22 N12:N22 L3 I7:I15 K18:L22 M20:M22 K5 K8:K15 L12:M15">
    <cfRule type="cellIs" dxfId="22" priority="1" stopIfTrue="1" operator="equal">
      <formula>0</formula>
    </cfRule>
  </conditionalFormatting>
  <printOptions horizontalCentered="1" gridLines="1"/>
  <pageMargins left="0.75" right="0.75" top="0.63" bottom="0.63" header="0.32" footer="0.45"/>
  <pageSetup scale="61" fitToHeight="2" orientation="portrait" r:id="rId1"/>
  <headerFooter alignWithMargins="0">
    <oddHeader>&amp;L&amp;"Arial,Bold Italic"&amp;11&amp;A&amp;C&amp;"Arial,Bold Italic"&amp;11Ten Mile River Hydro
Phase I Feasibility Study&amp;R&amp;"Arial,Bold Italic"&amp;11For Planning Purposes Only</oddHeader>
    <oddFooter>&amp;L&amp;F&amp;R&amp;G</oddFooter>
  </headerFooter>
  <rowBreaks count="1" manualBreakCount="1">
    <brk id="92" max="7" man="1"/>
  </rowBreaks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5"/>
  </sheetPr>
  <dimension ref="A1:S174"/>
  <sheetViews>
    <sheetView view="pageBreakPreview" topLeftCell="A74" zoomScale="75" zoomScaleNormal="80" zoomScaleSheetLayoutView="75" workbookViewId="0">
      <selection activeCell="H11" sqref="H11"/>
    </sheetView>
  </sheetViews>
  <sheetFormatPr defaultRowHeight="12.75"/>
  <cols>
    <col min="1" max="1" width="4.85546875" style="11" customWidth="1"/>
    <col min="2" max="2" width="32.5703125" style="11" customWidth="1"/>
    <col min="3" max="3" width="9.140625" style="11"/>
    <col min="4" max="4" width="12.42578125" style="69" customWidth="1"/>
    <col min="5" max="5" width="9.42578125" style="69" customWidth="1"/>
    <col min="6" max="6" width="12.85546875" style="69" customWidth="1"/>
    <col min="7" max="7" width="3.140625" style="11" customWidth="1"/>
    <col min="8" max="8" width="60.7109375" style="11" customWidth="1"/>
    <col min="9" max="9" width="4.85546875" style="11" customWidth="1"/>
    <col min="10" max="10" width="12.28515625" style="51" customWidth="1"/>
    <col min="11" max="11" width="12.42578125" style="10" customWidth="1"/>
    <col min="12" max="12" width="12.5703125" style="10" customWidth="1"/>
    <col min="13" max="14" width="9.140625" style="10"/>
    <col min="15" max="16384" width="9.140625" style="11"/>
  </cols>
  <sheetData>
    <row r="1" spans="1:19" ht="25.5">
      <c r="A1" s="7" t="s">
        <v>0</v>
      </c>
      <c r="B1" s="7" t="s">
        <v>1</v>
      </c>
      <c r="C1" s="7" t="s">
        <v>2</v>
      </c>
      <c r="D1" s="12" t="s">
        <v>3</v>
      </c>
      <c r="E1" s="60" t="s">
        <v>4</v>
      </c>
      <c r="F1" s="60" t="s">
        <v>5</v>
      </c>
      <c r="G1" s="8"/>
      <c r="H1" s="7" t="s">
        <v>6</v>
      </c>
      <c r="I1" s="7"/>
      <c r="J1" s="9"/>
      <c r="L1" s="170" t="s">
        <v>246</v>
      </c>
    </row>
    <row r="2" spans="1:19" ht="16.5" customHeight="1">
      <c r="A2" s="12">
        <v>1</v>
      </c>
      <c r="B2" s="7" t="s">
        <v>7</v>
      </c>
      <c r="C2" s="7"/>
      <c r="D2" s="61"/>
      <c r="E2" s="62"/>
      <c r="F2" s="62"/>
      <c r="G2" s="14"/>
      <c r="H2" s="13"/>
      <c r="I2" s="15"/>
      <c r="J2" s="16"/>
      <c r="L2" s="141" t="s">
        <v>228</v>
      </c>
      <c r="M2" s="17"/>
      <c r="N2" s="17"/>
      <c r="O2" s="18"/>
      <c r="P2" s="18"/>
    </row>
    <row r="3" spans="1:19" ht="16.5" customHeight="1">
      <c r="A3" s="19" t="s">
        <v>8</v>
      </c>
      <c r="B3" s="20" t="s">
        <v>9</v>
      </c>
      <c r="C3" s="20"/>
      <c r="D3" s="61">
        <v>1</v>
      </c>
      <c r="E3" s="62">
        <v>25000</v>
      </c>
      <c r="F3" s="62">
        <f>0.001*D3*E3</f>
        <v>25</v>
      </c>
      <c r="G3" s="14"/>
      <c r="H3" s="13" t="s">
        <v>10</v>
      </c>
      <c r="I3" s="21"/>
      <c r="J3" s="22"/>
      <c r="L3" s="374" t="s">
        <v>302</v>
      </c>
      <c r="M3" s="374"/>
      <c r="N3" s="374"/>
      <c r="O3" s="374"/>
      <c r="P3" s="374"/>
      <c r="Q3" s="374"/>
      <c r="R3" s="374"/>
      <c r="S3" s="374"/>
    </row>
    <row r="4" spans="1:19" ht="16.5" customHeight="1">
      <c r="A4" s="19" t="s">
        <v>11</v>
      </c>
      <c r="B4" s="20" t="s">
        <v>12</v>
      </c>
      <c r="C4" s="20"/>
      <c r="D4" s="61">
        <v>1</v>
      </c>
      <c r="E4" s="62">
        <v>10000</v>
      </c>
      <c r="F4" s="62">
        <f>0.001*D4*E4</f>
        <v>10</v>
      </c>
      <c r="G4" s="14"/>
      <c r="H4" s="13" t="s">
        <v>10</v>
      </c>
      <c r="I4" s="21"/>
      <c r="J4" s="22"/>
      <c r="K4" s="140"/>
      <c r="L4" s="374"/>
      <c r="M4" s="374"/>
      <c r="N4" s="374"/>
      <c r="O4" s="374"/>
      <c r="P4" s="374"/>
      <c r="Q4" s="374"/>
      <c r="R4" s="374"/>
      <c r="S4" s="374"/>
    </row>
    <row r="5" spans="1:19" ht="16.5" customHeight="1">
      <c r="A5" s="19" t="s">
        <v>13</v>
      </c>
      <c r="B5" s="23" t="s">
        <v>14</v>
      </c>
      <c r="C5" s="23" t="s">
        <v>15</v>
      </c>
      <c r="D5" s="61">
        <v>4</v>
      </c>
      <c r="E5" s="62">
        <v>8000</v>
      </c>
      <c r="F5" s="62">
        <f>0.001*D5*E5</f>
        <v>32</v>
      </c>
      <c r="G5" s="14"/>
      <c r="H5" s="142" t="s">
        <v>285</v>
      </c>
      <c r="I5" s="21"/>
      <c r="J5" s="22"/>
      <c r="K5" s="17"/>
      <c r="L5" s="374"/>
      <c r="M5" s="374"/>
      <c r="N5" s="374"/>
      <c r="O5" s="374"/>
      <c r="P5" s="374"/>
      <c r="Q5" s="374"/>
      <c r="R5" s="374"/>
      <c r="S5" s="374"/>
    </row>
    <row r="6" spans="1:19" ht="16.5" customHeight="1">
      <c r="A6" s="19" t="s">
        <v>16</v>
      </c>
      <c r="B6" s="23" t="s">
        <v>17</v>
      </c>
      <c r="C6" s="23" t="s">
        <v>18</v>
      </c>
      <c r="D6" s="61">
        <v>2000</v>
      </c>
      <c r="E6" s="62">
        <v>10</v>
      </c>
      <c r="F6" s="62">
        <f>0.001*D6*E6</f>
        <v>20</v>
      </c>
      <c r="G6" s="14"/>
      <c r="H6" s="142" t="s">
        <v>285</v>
      </c>
      <c r="I6" s="18"/>
      <c r="J6" s="24"/>
      <c r="K6" s="25"/>
      <c r="L6" s="374"/>
      <c r="M6" s="374"/>
      <c r="N6" s="374"/>
      <c r="O6" s="374"/>
      <c r="P6" s="374"/>
      <c r="Q6" s="374"/>
      <c r="R6" s="374"/>
      <c r="S6" s="374"/>
    </row>
    <row r="7" spans="1:19" ht="16.5" customHeight="1">
      <c r="A7" s="26" t="s">
        <v>19</v>
      </c>
      <c r="B7" s="27" t="s">
        <v>151</v>
      </c>
      <c r="C7" s="27"/>
      <c r="D7" s="184">
        <v>1</v>
      </c>
      <c r="E7" s="64">
        <f>('Phase I Dam Repairs'!D4+'Phase I Dam Repairs'!D3)*1000</f>
        <v>90000</v>
      </c>
      <c r="F7" s="64">
        <f>0.001*D7*E7</f>
        <v>90</v>
      </c>
      <c r="G7" s="29"/>
      <c r="H7" s="238" t="s">
        <v>265</v>
      </c>
      <c r="I7" s="21"/>
      <c r="J7" s="22"/>
      <c r="K7" s="30"/>
      <c r="L7" s="374"/>
      <c r="M7" s="374"/>
      <c r="N7" s="374"/>
      <c r="O7" s="374"/>
      <c r="P7" s="374"/>
      <c r="Q7" s="374"/>
      <c r="R7" s="374"/>
      <c r="S7" s="374"/>
    </row>
    <row r="8" spans="1:19" ht="16.5" customHeight="1">
      <c r="A8" s="19" t="s">
        <v>21</v>
      </c>
      <c r="B8" s="19" t="s">
        <v>22</v>
      </c>
      <c r="C8" s="19"/>
      <c r="D8" s="61"/>
      <c r="E8" s="62"/>
      <c r="F8" s="62">
        <f>SUM(F2:F7)</f>
        <v>177</v>
      </c>
      <c r="G8" s="14"/>
      <c r="H8" s="13"/>
      <c r="I8" s="21"/>
      <c r="J8" s="22"/>
      <c r="K8" s="31"/>
      <c r="L8" s="374"/>
      <c r="M8" s="374"/>
      <c r="N8" s="374"/>
      <c r="O8" s="374"/>
      <c r="P8" s="374"/>
      <c r="Q8" s="374"/>
      <c r="R8" s="374"/>
      <c r="S8" s="374"/>
    </row>
    <row r="9" spans="1:19" ht="16.5" customHeight="1">
      <c r="A9" s="19"/>
      <c r="B9" s="13"/>
      <c r="C9" s="13"/>
      <c r="D9" s="61"/>
      <c r="E9" s="62"/>
      <c r="F9" s="62"/>
      <c r="G9" s="14"/>
      <c r="H9" s="13"/>
      <c r="I9" s="21"/>
      <c r="J9" s="22"/>
      <c r="K9" s="31"/>
      <c r="L9" s="374"/>
      <c r="M9" s="374"/>
      <c r="N9" s="374"/>
      <c r="O9" s="374"/>
      <c r="P9" s="374"/>
      <c r="Q9" s="374"/>
      <c r="R9" s="374"/>
      <c r="S9" s="374"/>
    </row>
    <row r="10" spans="1:19" ht="16.5" customHeight="1">
      <c r="A10" s="12">
        <v>2</v>
      </c>
      <c r="B10" s="7" t="s">
        <v>130</v>
      </c>
      <c r="C10" s="7"/>
      <c r="D10" s="65"/>
      <c r="E10" s="62"/>
      <c r="F10" s="62"/>
      <c r="G10" s="14"/>
      <c r="H10" s="13"/>
      <c r="I10" s="21"/>
      <c r="J10" s="22"/>
      <c r="K10" s="31"/>
      <c r="L10" s="374"/>
      <c r="M10" s="374"/>
      <c r="N10" s="374"/>
      <c r="O10" s="374"/>
      <c r="P10" s="374"/>
      <c r="Q10" s="374"/>
      <c r="R10" s="374"/>
      <c r="S10" s="374"/>
    </row>
    <row r="11" spans="1:19" ht="16.5" customHeight="1">
      <c r="A11" s="19" t="s">
        <v>8</v>
      </c>
      <c r="B11" s="20" t="s">
        <v>114</v>
      </c>
      <c r="C11" s="32"/>
      <c r="D11" s="66"/>
      <c r="E11" s="290"/>
      <c r="F11" s="62">
        <v>100</v>
      </c>
      <c r="G11" s="14"/>
      <c r="H11" s="13" t="s">
        <v>10</v>
      </c>
      <c r="I11" s="21"/>
      <c r="J11" s="22"/>
      <c r="K11" s="31"/>
      <c r="L11" s="374"/>
      <c r="M11" s="374"/>
      <c r="N11" s="374"/>
      <c r="O11" s="374"/>
      <c r="P11" s="374"/>
      <c r="Q11" s="374"/>
      <c r="R11" s="374"/>
      <c r="S11" s="374"/>
    </row>
    <row r="12" spans="1:19" ht="16.5" customHeight="1">
      <c r="A12" s="19" t="s">
        <v>11</v>
      </c>
      <c r="B12" s="194" t="s">
        <v>376</v>
      </c>
      <c r="C12" s="32"/>
      <c r="D12" s="66"/>
      <c r="E12" s="290"/>
      <c r="F12" s="62">
        <v>10</v>
      </c>
      <c r="G12" s="14"/>
      <c r="H12" s="13" t="s">
        <v>10</v>
      </c>
      <c r="I12" s="21"/>
      <c r="J12" s="22"/>
      <c r="K12" s="31"/>
      <c r="L12" s="31"/>
      <c r="M12" s="31"/>
      <c r="N12" s="17"/>
      <c r="O12" s="18"/>
      <c r="P12" s="18"/>
    </row>
    <row r="13" spans="1:19" ht="16.5" customHeight="1">
      <c r="A13" s="19" t="s">
        <v>13</v>
      </c>
      <c r="B13" s="194" t="s">
        <v>318</v>
      </c>
      <c r="C13" s="20"/>
      <c r="D13" s="66">
        <v>1</v>
      </c>
      <c r="E13" s="295">
        <f>'Pwrhse Cost Estimator'!D29</f>
        <v>592939.82256251317</v>
      </c>
      <c r="F13" s="62">
        <f t="shared" ref="F13:F29" si="0">0.001*D13*E13</f>
        <v>592.9398225625132</v>
      </c>
      <c r="G13" s="14"/>
      <c r="H13" s="142" t="s">
        <v>377</v>
      </c>
      <c r="I13" s="21"/>
      <c r="J13" s="22"/>
      <c r="K13" s="31"/>
      <c r="L13" s="31"/>
      <c r="M13" s="31"/>
      <c r="N13" s="17"/>
      <c r="O13" s="18"/>
      <c r="P13" s="18"/>
    </row>
    <row r="14" spans="1:19" ht="16.5" hidden="1" customHeight="1">
      <c r="A14" s="19" t="s">
        <v>25</v>
      </c>
      <c r="B14" s="34" t="s">
        <v>26</v>
      </c>
      <c r="C14" s="23" t="s">
        <v>27</v>
      </c>
      <c r="D14" s="173">
        <v>0</v>
      </c>
      <c r="E14" s="292">
        <v>25</v>
      </c>
      <c r="F14" s="62">
        <f t="shared" si="0"/>
        <v>0</v>
      </c>
      <c r="G14" s="14"/>
      <c r="H14" s="143" t="s">
        <v>253</v>
      </c>
      <c r="I14" s="21"/>
      <c r="J14" s="22"/>
      <c r="K14" s="17"/>
      <c r="L14" s="17"/>
      <c r="M14" s="17"/>
      <c r="N14" s="17"/>
      <c r="O14" s="18"/>
      <c r="P14" s="18"/>
    </row>
    <row r="15" spans="1:19" ht="27.75" hidden="1" customHeight="1">
      <c r="A15" s="19" t="s">
        <v>28</v>
      </c>
      <c r="B15" s="35" t="s">
        <v>29</v>
      </c>
      <c r="C15" s="23" t="s">
        <v>27</v>
      </c>
      <c r="D15" s="174">
        <v>0</v>
      </c>
      <c r="E15" s="290">
        <v>100</v>
      </c>
      <c r="F15" s="62">
        <f t="shared" si="0"/>
        <v>0</v>
      </c>
      <c r="G15" s="14"/>
      <c r="H15" s="143" t="s">
        <v>253</v>
      </c>
      <c r="I15" s="21"/>
      <c r="J15" s="22"/>
      <c r="K15" s="17"/>
      <c r="L15" s="17"/>
      <c r="M15" s="17"/>
      <c r="N15" s="17"/>
      <c r="O15" s="18"/>
      <c r="P15" s="18"/>
    </row>
    <row r="16" spans="1:19" ht="16.5" hidden="1" customHeight="1">
      <c r="A16" s="19" t="s">
        <v>30</v>
      </c>
      <c r="B16" s="35" t="s">
        <v>31</v>
      </c>
      <c r="C16" s="23" t="s">
        <v>27</v>
      </c>
      <c r="D16" s="174">
        <v>0</v>
      </c>
      <c r="E16" s="290">
        <v>100</v>
      </c>
      <c r="F16" s="62">
        <f t="shared" si="0"/>
        <v>0</v>
      </c>
      <c r="G16" s="14"/>
      <c r="H16" s="143" t="s">
        <v>253</v>
      </c>
      <c r="I16" s="18"/>
      <c r="J16" s="24"/>
      <c r="K16" s="25"/>
      <c r="L16" s="25"/>
      <c r="M16" s="25"/>
      <c r="N16" s="17"/>
      <c r="O16" s="18"/>
      <c r="P16" s="18"/>
    </row>
    <row r="17" spans="1:16" ht="16.5" hidden="1" customHeight="1">
      <c r="A17" s="21" t="s">
        <v>16</v>
      </c>
      <c r="B17" s="23" t="s">
        <v>32</v>
      </c>
      <c r="C17" s="23"/>
      <c r="D17" s="67">
        <v>0</v>
      </c>
      <c r="E17" s="290">
        <v>10000</v>
      </c>
      <c r="F17" s="62">
        <f t="shared" si="0"/>
        <v>0</v>
      </c>
      <c r="G17" s="14"/>
      <c r="H17" s="13" t="s">
        <v>10</v>
      </c>
      <c r="I17" s="21"/>
      <c r="J17" s="22"/>
      <c r="K17" s="30"/>
      <c r="L17" s="30"/>
      <c r="M17" s="30"/>
      <c r="N17" s="17"/>
      <c r="O17" s="18"/>
      <c r="P17" s="18"/>
    </row>
    <row r="18" spans="1:16" ht="16.5" hidden="1" customHeight="1">
      <c r="A18" s="19" t="s">
        <v>19</v>
      </c>
      <c r="B18" s="23" t="s">
        <v>33</v>
      </c>
      <c r="C18" s="23" t="s">
        <v>34</v>
      </c>
      <c r="D18" s="67">
        <v>0</v>
      </c>
      <c r="E18" s="290">
        <v>1000</v>
      </c>
      <c r="F18" s="62">
        <f t="shared" si="0"/>
        <v>0</v>
      </c>
      <c r="G18" s="14"/>
      <c r="H18" s="36" t="s">
        <v>156</v>
      </c>
      <c r="I18" s="21"/>
      <c r="J18" s="22"/>
      <c r="K18" s="31"/>
      <c r="L18" s="31"/>
      <c r="M18" s="30"/>
      <c r="N18" s="17"/>
      <c r="O18" s="18"/>
      <c r="P18" s="18"/>
    </row>
    <row r="19" spans="1:16" ht="16.5" hidden="1" customHeight="1">
      <c r="A19" s="19" t="s">
        <v>21</v>
      </c>
      <c r="B19" s="23" t="s">
        <v>57</v>
      </c>
      <c r="C19" s="23" t="s">
        <v>27</v>
      </c>
      <c r="D19" s="175">
        <v>0</v>
      </c>
      <c r="E19" s="290">
        <v>750</v>
      </c>
      <c r="F19" s="62">
        <f t="shared" si="0"/>
        <v>0</v>
      </c>
      <c r="G19" s="14"/>
      <c r="H19" s="13" t="s">
        <v>10</v>
      </c>
      <c r="I19" s="21"/>
      <c r="J19" s="22"/>
      <c r="K19" s="31"/>
      <c r="L19" s="31"/>
      <c r="M19" s="30"/>
      <c r="N19" s="17"/>
      <c r="O19" s="18"/>
      <c r="P19" s="18"/>
    </row>
    <row r="20" spans="1:16" ht="16.5" hidden="1" customHeight="1">
      <c r="A20" s="19" t="s">
        <v>35</v>
      </c>
      <c r="B20" s="23" t="s">
        <v>124</v>
      </c>
      <c r="C20" s="23" t="s">
        <v>23</v>
      </c>
      <c r="D20" s="174">
        <v>0</v>
      </c>
      <c r="E20" s="290">
        <v>100</v>
      </c>
      <c r="F20" s="62">
        <f t="shared" si="0"/>
        <v>0</v>
      </c>
      <c r="G20" s="14"/>
      <c r="H20" s="143" t="s">
        <v>253</v>
      </c>
      <c r="I20" s="21"/>
      <c r="J20" s="22"/>
      <c r="K20" s="31"/>
      <c r="L20" s="31"/>
      <c r="M20" s="31"/>
      <c r="N20" s="17"/>
      <c r="O20" s="18"/>
      <c r="P20" s="18"/>
    </row>
    <row r="21" spans="1:16" ht="16.5" hidden="1" customHeight="1">
      <c r="A21" s="19" t="s">
        <v>36</v>
      </c>
      <c r="B21" s="20" t="s">
        <v>37</v>
      </c>
      <c r="C21" s="23" t="s">
        <v>23</v>
      </c>
      <c r="D21" s="173">
        <v>0</v>
      </c>
      <c r="E21" s="290">
        <v>400</v>
      </c>
      <c r="F21" s="62">
        <f t="shared" si="0"/>
        <v>0</v>
      </c>
      <c r="G21" s="14"/>
      <c r="H21" s="143" t="s">
        <v>252</v>
      </c>
      <c r="I21" s="21"/>
      <c r="J21" s="22"/>
      <c r="K21" s="31"/>
      <c r="L21" s="31"/>
      <c r="M21" s="31"/>
      <c r="N21" s="17"/>
      <c r="O21" s="18"/>
      <c r="P21" s="18"/>
    </row>
    <row r="22" spans="1:16" ht="16.5" hidden="1" customHeight="1">
      <c r="A22" s="19" t="s">
        <v>25</v>
      </c>
      <c r="B22" s="20" t="s">
        <v>38</v>
      </c>
      <c r="C22" s="32"/>
      <c r="D22" s="66">
        <v>0</v>
      </c>
      <c r="E22" s="290">
        <v>150000</v>
      </c>
      <c r="F22" s="62">
        <f t="shared" si="0"/>
        <v>0</v>
      </c>
      <c r="G22" s="14"/>
      <c r="H22" s="36" t="s">
        <v>159</v>
      </c>
      <c r="I22" s="21"/>
      <c r="J22" s="22"/>
      <c r="K22" s="31"/>
      <c r="L22" s="31"/>
      <c r="M22" s="31"/>
      <c r="N22" s="17"/>
      <c r="O22" s="18"/>
      <c r="P22" s="18"/>
    </row>
    <row r="23" spans="1:16" ht="16.5" hidden="1" customHeight="1">
      <c r="A23" s="19" t="s">
        <v>39</v>
      </c>
      <c r="B23" s="23" t="s">
        <v>160</v>
      </c>
      <c r="C23" s="20"/>
      <c r="D23" s="61">
        <v>0</v>
      </c>
      <c r="E23" s="290">
        <v>15000</v>
      </c>
      <c r="F23" s="62">
        <f t="shared" si="0"/>
        <v>0</v>
      </c>
      <c r="G23" s="14"/>
      <c r="H23" s="36" t="s">
        <v>10</v>
      </c>
      <c r="J23" s="11"/>
      <c r="K23" s="11"/>
      <c r="L23" s="11"/>
      <c r="M23" s="11"/>
      <c r="N23" s="11"/>
    </row>
    <row r="24" spans="1:16" ht="33" customHeight="1">
      <c r="A24" s="19" t="s">
        <v>40</v>
      </c>
      <c r="B24" s="194" t="s">
        <v>292</v>
      </c>
      <c r="C24" s="194" t="s">
        <v>18</v>
      </c>
      <c r="D24" s="61">
        <v>2000</v>
      </c>
      <c r="E24" s="290">
        <f>'Penstock Costs'!G20</f>
        <v>474.76274677500004</v>
      </c>
      <c r="F24" s="62">
        <f t="shared" si="0"/>
        <v>949.52549355000008</v>
      </c>
      <c r="G24" s="14"/>
      <c r="H24" s="142" t="s">
        <v>363</v>
      </c>
      <c r="I24" s="19"/>
      <c r="J24" s="37"/>
    </row>
    <row r="25" spans="1:16" ht="16.5" customHeight="1">
      <c r="A25" s="19" t="s">
        <v>41</v>
      </c>
      <c r="B25" s="20" t="s">
        <v>42</v>
      </c>
      <c r="C25" s="20"/>
      <c r="D25" s="61">
        <v>1</v>
      </c>
      <c r="E25" s="290">
        <v>5000</v>
      </c>
      <c r="F25" s="62">
        <f t="shared" si="0"/>
        <v>5</v>
      </c>
      <c r="G25" s="14"/>
      <c r="H25" s="13" t="s">
        <v>10</v>
      </c>
      <c r="I25" s="19"/>
      <c r="J25" s="37"/>
    </row>
    <row r="26" spans="1:16" ht="16.5" customHeight="1">
      <c r="A26" s="19" t="s">
        <v>43</v>
      </c>
      <c r="B26" s="20" t="s">
        <v>44</v>
      </c>
      <c r="C26" s="20"/>
      <c r="D26" s="61">
        <v>1</v>
      </c>
      <c r="E26" s="293">
        <v>10000</v>
      </c>
      <c r="F26" s="239">
        <f t="shared" si="0"/>
        <v>10</v>
      </c>
      <c r="G26" s="240"/>
      <c r="H26" s="142" t="s">
        <v>10</v>
      </c>
      <c r="I26" s="19"/>
      <c r="J26" s="37"/>
    </row>
    <row r="27" spans="1:16" ht="25.5" customHeight="1">
      <c r="A27" s="19" t="s">
        <v>45</v>
      </c>
      <c r="B27" s="20" t="s">
        <v>46</v>
      </c>
      <c r="C27" s="20"/>
      <c r="D27" s="61">
        <v>1</v>
      </c>
      <c r="E27" s="293">
        <v>10000</v>
      </c>
      <c r="F27" s="239">
        <f t="shared" si="0"/>
        <v>10</v>
      </c>
      <c r="G27" s="240"/>
      <c r="H27" s="142" t="s">
        <v>10</v>
      </c>
      <c r="I27" s="19"/>
      <c r="J27" s="37"/>
    </row>
    <row r="28" spans="1:16">
      <c r="A28" s="19" t="s">
        <v>47</v>
      </c>
      <c r="B28" s="20" t="s">
        <v>48</v>
      </c>
      <c r="C28" s="20"/>
      <c r="D28" s="61">
        <v>1</v>
      </c>
      <c r="E28" s="290">
        <v>5000</v>
      </c>
      <c r="F28" s="62">
        <f t="shared" si="0"/>
        <v>5</v>
      </c>
      <c r="G28" s="14"/>
      <c r="H28" s="13" t="s">
        <v>10</v>
      </c>
      <c r="I28" s="19"/>
      <c r="J28" s="37"/>
    </row>
    <row r="29" spans="1:16" ht="16.5" customHeight="1">
      <c r="A29" s="26" t="s">
        <v>49</v>
      </c>
      <c r="B29" s="192" t="s">
        <v>20</v>
      </c>
      <c r="C29" s="27"/>
      <c r="D29" s="68"/>
      <c r="E29" s="294"/>
      <c r="F29" s="64">
        <f t="shared" si="0"/>
        <v>0</v>
      </c>
      <c r="G29" s="29"/>
      <c r="H29" s="238"/>
      <c r="I29" s="19"/>
      <c r="J29" s="37"/>
    </row>
    <row r="30" spans="1:16">
      <c r="A30" s="19" t="s">
        <v>50</v>
      </c>
      <c r="B30" s="264" t="s">
        <v>385</v>
      </c>
      <c r="C30" s="19"/>
      <c r="D30" s="61"/>
      <c r="E30" s="290"/>
      <c r="F30" s="62">
        <f>SUM(F11:F29)</f>
        <v>1682.4653161125134</v>
      </c>
      <c r="G30" s="14"/>
      <c r="H30" s="13"/>
      <c r="I30" s="19"/>
      <c r="J30" s="37"/>
    </row>
    <row r="31" spans="1:16" ht="16.5" customHeight="1">
      <c r="A31" s="19"/>
      <c r="B31" s="13"/>
      <c r="C31" s="13"/>
      <c r="D31" s="61"/>
      <c r="E31" s="290"/>
      <c r="F31" s="62"/>
      <c r="G31" s="14"/>
      <c r="H31" s="13"/>
      <c r="I31" s="19"/>
      <c r="J31" s="37"/>
    </row>
    <row r="32" spans="1:16" ht="16.5" customHeight="1">
      <c r="A32" s="12">
        <v>3</v>
      </c>
      <c r="B32" s="7" t="s">
        <v>52</v>
      </c>
      <c r="C32" s="7"/>
      <c r="D32" s="61"/>
      <c r="E32" s="290"/>
      <c r="F32" s="62"/>
      <c r="G32" s="14"/>
      <c r="H32" s="13"/>
      <c r="I32" s="19"/>
      <c r="J32" s="37"/>
    </row>
    <row r="33" spans="1:10" ht="15">
      <c r="A33" s="19" t="s">
        <v>8</v>
      </c>
      <c r="B33" s="194" t="s">
        <v>319</v>
      </c>
      <c r="C33" s="20"/>
      <c r="D33" s="61">
        <v>1</v>
      </c>
      <c r="E33" s="295">
        <f>'TG Costs'!D28</f>
        <v>485209.76</v>
      </c>
      <c r="F33" s="62">
        <f t="shared" ref="F33:F38" si="1">0.001*D33*E33</f>
        <v>485.20976000000002</v>
      </c>
      <c r="G33" s="14"/>
      <c r="H33" s="142" t="s">
        <v>388</v>
      </c>
      <c r="I33" s="19"/>
      <c r="J33" s="37">
        <f>3/1.8*1.5</f>
        <v>2.5</v>
      </c>
    </row>
    <row r="34" spans="1:10" ht="20.25" customHeight="1">
      <c r="A34" s="19" t="s">
        <v>11</v>
      </c>
      <c r="B34" s="23" t="s">
        <v>161</v>
      </c>
      <c r="C34" s="20"/>
      <c r="D34" s="61">
        <v>1</v>
      </c>
      <c r="E34" s="290">
        <f>SUM(F33,F35:F38)*1000*0.2</f>
        <v>120041.952</v>
      </c>
      <c r="F34" s="62">
        <f t="shared" si="1"/>
        <v>120.04195200000001</v>
      </c>
      <c r="G34" s="14"/>
      <c r="H34" s="36" t="s">
        <v>162</v>
      </c>
      <c r="I34" s="19"/>
      <c r="J34" s="37"/>
    </row>
    <row r="35" spans="1:10" ht="16.5" customHeight="1">
      <c r="A35" s="19" t="s">
        <v>13</v>
      </c>
      <c r="B35" s="20" t="s">
        <v>53</v>
      </c>
      <c r="C35" s="20"/>
      <c r="D35" s="191">
        <v>1</v>
      </c>
      <c r="E35" s="239">
        <f>'Interconnect Costs'!K10</f>
        <v>20000</v>
      </c>
      <c r="F35" s="239">
        <f t="shared" si="1"/>
        <v>20</v>
      </c>
      <c r="G35" s="240"/>
      <c r="H35" s="241" t="s">
        <v>274</v>
      </c>
      <c r="I35" s="19"/>
      <c r="J35" s="37"/>
    </row>
    <row r="36" spans="1:10" ht="16.5" customHeight="1">
      <c r="A36" s="19" t="s">
        <v>16</v>
      </c>
      <c r="B36" s="194" t="s">
        <v>320</v>
      </c>
      <c r="C36" s="20"/>
      <c r="D36" s="191">
        <v>1</v>
      </c>
      <c r="E36" s="239">
        <v>50000</v>
      </c>
      <c r="F36" s="239">
        <f t="shared" si="1"/>
        <v>50</v>
      </c>
      <c r="G36" s="240"/>
      <c r="H36" s="142" t="s">
        <v>384</v>
      </c>
      <c r="I36" s="19"/>
      <c r="J36" s="37"/>
    </row>
    <row r="37" spans="1:10">
      <c r="A37" s="19" t="s">
        <v>19</v>
      </c>
      <c r="B37" s="20" t="s">
        <v>55</v>
      </c>
      <c r="C37" s="20"/>
      <c r="D37" s="191">
        <v>1</v>
      </c>
      <c r="E37" s="239">
        <v>20000</v>
      </c>
      <c r="F37" s="239">
        <f t="shared" si="1"/>
        <v>20</v>
      </c>
      <c r="G37" s="240"/>
      <c r="H37" s="142" t="s">
        <v>10</v>
      </c>
      <c r="I37" s="19"/>
      <c r="J37" s="37"/>
    </row>
    <row r="38" spans="1:10" ht="16.5" customHeight="1">
      <c r="A38" s="26" t="s">
        <v>21</v>
      </c>
      <c r="B38" s="192" t="s">
        <v>321</v>
      </c>
      <c r="C38" s="27"/>
      <c r="D38" s="184">
        <v>1</v>
      </c>
      <c r="E38" s="64">
        <v>25000</v>
      </c>
      <c r="F38" s="64">
        <f t="shared" si="1"/>
        <v>25</v>
      </c>
      <c r="G38" s="29"/>
      <c r="H38" s="238" t="s">
        <v>10</v>
      </c>
      <c r="I38" s="19"/>
      <c r="J38" s="37"/>
    </row>
    <row r="39" spans="1:10" ht="16.5" customHeight="1">
      <c r="A39" s="19" t="s">
        <v>35</v>
      </c>
      <c r="B39" s="19" t="s">
        <v>56</v>
      </c>
      <c r="C39" s="19"/>
      <c r="D39" s="61"/>
      <c r="E39" s="62"/>
      <c r="F39" s="62">
        <f>SUM(F33:F38)</f>
        <v>720.251712</v>
      </c>
      <c r="G39" s="14"/>
      <c r="H39" s="13"/>
      <c r="I39" s="19"/>
      <c r="J39" s="37"/>
    </row>
    <row r="40" spans="1:10" ht="16.5" hidden="1" customHeight="1">
      <c r="A40" s="19"/>
      <c r="B40" s="13"/>
      <c r="C40" s="13"/>
      <c r="D40" s="61"/>
      <c r="E40" s="62"/>
      <c r="F40" s="62"/>
      <c r="G40" s="14"/>
      <c r="H40" s="13"/>
      <c r="I40" s="19"/>
      <c r="J40" s="37"/>
    </row>
    <row r="41" spans="1:10" ht="16.5" hidden="1" customHeight="1">
      <c r="A41" s="12">
        <v>4</v>
      </c>
      <c r="B41" s="7" t="s">
        <v>132</v>
      </c>
      <c r="C41" s="7"/>
      <c r="D41" s="61"/>
      <c r="E41" s="62"/>
      <c r="F41" s="62"/>
      <c r="G41" s="14"/>
      <c r="H41" s="13"/>
      <c r="I41" s="19"/>
      <c r="J41" s="37"/>
    </row>
    <row r="42" spans="1:10" ht="16.5" hidden="1" customHeight="1">
      <c r="A42" s="19" t="s">
        <v>8</v>
      </c>
      <c r="B42" s="20" t="s">
        <v>133</v>
      </c>
      <c r="C42" s="23" t="s">
        <v>23</v>
      </c>
      <c r="D42" s="61"/>
      <c r="E42" s="62">
        <v>40</v>
      </c>
      <c r="F42" s="62">
        <f>0.001*D42*E42</f>
        <v>0</v>
      </c>
      <c r="G42" s="14"/>
      <c r="H42" s="13" t="s">
        <v>10</v>
      </c>
      <c r="I42" s="19"/>
      <c r="J42" s="37"/>
    </row>
    <row r="43" spans="1:10" ht="16.5" hidden="1" customHeight="1">
      <c r="A43" s="19" t="s">
        <v>11</v>
      </c>
      <c r="B43" s="20" t="s">
        <v>24</v>
      </c>
      <c r="C43" s="23" t="s">
        <v>27</v>
      </c>
      <c r="D43" s="61"/>
      <c r="E43" s="62">
        <v>15</v>
      </c>
      <c r="F43" s="62">
        <f>0.001*D43*E43</f>
        <v>0</v>
      </c>
      <c r="G43" s="14"/>
      <c r="H43" s="13" t="s">
        <v>10</v>
      </c>
      <c r="I43" s="19"/>
      <c r="J43" s="37"/>
    </row>
    <row r="44" spans="1:10" ht="16.5" hidden="1" customHeight="1">
      <c r="A44" s="19" t="s">
        <v>13</v>
      </c>
      <c r="B44" s="20" t="s">
        <v>134</v>
      </c>
      <c r="C44" s="23" t="s">
        <v>27</v>
      </c>
      <c r="D44" s="61"/>
      <c r="E44" s="62">
        <v>450</v>
      </c>
      <c r="F44" s="62">
        <f>0.001*D44*E44</f>
        <v>0</v>
      </c>
      <c r="G44" s="14"/>
      <c r="H44" s="13" t="s">
        <v>10</v>
      </c>
      <c r="I44" s="19"/>
      <c r="J44" s="37"/>
    </row>
    <row r="45" spans="1:10" hidden="1">
      <c r="A45" s="19" t="s">
        <v>16</v>
      </c>
      <c r="B45" s="20" t="s">
        <v>135</v>
      </c>
      <c r="C45" s="20"/>
      <c r="D45" s="61"/>
      <c r="E45" s="62"/>
      <c r="F45" s="62">
        <f>0.001*D45*E45</f>
        <v>0</v>
      </c>
      <c r="G45" s="14"/>
      <c r="H45" s="36"/>
      <c r="I45" s="19"/>
      <c r="J45" s="37"/>
    </row>
    <row r="46" spans="1:10" ht="16.5" hidden="1" customHeight="1">
      <c r="A46" s="26" t="s">
        <v>19</v>
      </c>
      <c r="B46" s="27" t="s">
        <v>20</v>
      </c>
      <c r="C46" s="27"/>
      <c r="D46" s="63"/>
      <c r="E46" s="64"/>
      <c r="F46" s="64">
        <f>0.001*D46*E46</f>
        <v>0</v>
      </c>
      <c r="G46" s="29"/>
      <c r="H46" s="28"/>
      <c r="I46" s="19"/>
      <c r="J46" s="37"/>
    </row>
    <row r="47" spans="1:10" ht="16.5" hidden="1" customHeight="1">
      <c r="A47" s="19" t="s">
        <v>21</v>
      </c>
      <c r="B47" s="19" t="s">
        <v>136</v>
      </c>
      <c r="C47" s="19"/>
      <c r="D47" s="61"/>
      <c r="E47" s="62"/>
      <c r="F47" s="62">
        <f>SUM(F42:F46)</f>
        <v>0</v>
      </c>
      <c r="G47" s="14"/>
      <c r="H47" s="13"/>
      <c r="I47" s="19"/>
      <c r="J47" s="37"/>
    </row>
    <row r="48" spans="1:10" ht="16.5" hidden="1" customHeight="1">
      <c r="A48" s="19"/>
      <c r="B48" s="13"/>
      <c r="C48" s="13"/>
      <c r="D48" s="61"/>
      <c r="E48" s="62"/>
      <c r="F48" s="62"/>
      <c r="G48" s="14"/>
      <c r="H48" s="13"/>
      <c r="I48" s="19"/>
      <c r="J48" s="37"/>
    </row>
    <row r="49" spans="1:10" ht="16.5" hidden="1" customHeight="1">
      <c r="A49" s="12">
        <v>5</v>
      </c>
      <c r="B49" s="7" t="s">
        <v>137</v>
      </c>
      <c r="C49" s="7"/>
      <c r="D49" s="61"/>
      <c r="E49" s="62"/>
      <c r="F49" s="62"/>
      <c r="G49" s="14"/>
      <c r="H49" s="13"/>
      <c r="I49" s="19"/>
      <c r="J49" s="37"/>
    </row>
    <row r="50" spans="1:10" ht="16.5" hidden="1" customHeight="1">
      <c r="A50" s="39" t="s">
        <v>8</v>
      </c>
      <c r="B50" s="40" t="s">
        <v>138</v>
      </c>
      <c r="C50" s="40"/>
      <c r="D50" s="61"/>
      <c r="E50" s="62">
        <v>1000</v>
      </c>
      <c r="F50" s="62">
        <f t="shared" ref="F50:F55" si="2">0.001*D50*E50</f>
        <v>0</v>
      </c>
      <c r="G50" s="14"/>
      <c r="H50" s="13" t="s">
        <v>10</v>
      </c>
      <c r="I50" s="19"/>
      <c r="J50" s="37"/>
    </row>
    <row r="51" spans="1:10" ht="16.5" hidden="1" customHeight="1">
      <c r="A51" s="39" t="s">
        <v>11</v>
      </c>
      <c r="B51" s="23" t="s">
        <v>17</v>
      </c>
      <c r="C51" s="23" t="s">
        <v>18</v>
      </c>
      <c r="D51" s="61"/>
      <c r="E51" s="62">
        <v>5</v>
      </c>
      <c r="F51" s="62">
        <f t="shared" si="2"/>
        <v>0</v>
      </c>
      <c r="G51" s="14"/>
      <c r="H51" s="13" t="s">
        <v>139</v>
      </c>
      <c r="I51" s="19"/>
      <c r="J51" s="37"/>
    </row>
    <row r="52" spans="1:10" ht="16.5" hidden="1" customHeight="1">
      <c r="A52" s="19" t="s">
        <v>13</v>
      </c>
      <c r="B52" s="41" t="s">
        <v>140</v>
      </c>
      <c r="C52" s="40" t="s">
        <v>15</v>
      </c>
      <c r="D52" s="61"/>
      <c r="E52" s="62">
        <v>6201</v>
      </c>
      <c r="F52" s="62">
        <f t="shared" si="2"/>
        <v>0</v>
      </c>
      <c r="G52" s="14"/>
      <c r="H52" s="13" t="s">
        <v>10</v>
      </c>
      <c r="I52" s="19"/>
      <c r="J52" s="37"/>
    </row>
    <row r="53" spans="1:10" ht="16.5" hidden="1" customHeight="1">
      <c r="A53" s="19" t="s">
        <v>16</v>
      </c>
      <c r="B53" s="41" t="s">
        <v>24</v>
      </c>
      <c r="C53" s="41" t="s">
        <v>27</v>
      </c>
      <c r="D53" s="67"/>
      <c r="E53" s="62">
        <v>15</v>
      </c>
      <c r="F53" s="62">
        <f t="shared" si="2"/>
        <v>0</v>
      </c>
      <c r="G53" s="14"/>
      <c r="H53" s="13" t="s">
        <v>139</v>
      </c>
      <c r="I53" s="19"/>
      <c r="J53" s="37"/>
    </row>
    <row r="54" spans="1:10" ht="16.5" hidden="1" customHeight="1">
      <c r="A54" s="19" t="s">
        <v>19</v>
      </c>
      <c r="B54" s="41" t="s">
        <v>141</v>
      </c>
      <c r="C54" s="41" t="s">
        <v>27</v>
      </c>
      <c r="D54" s="67"/>
      <c r="E54" s="62">
        <v>40</v>
      </c>
      <c r="F54" s="62">
        <f t="shared" si="2"/>
        <v>0</v>
      </c>
      <c r="G54" s="14"/>
      <c r="H54" s="13" t="s">
        <v>139</v>
      </c>
      <c r="I54" s="19"/>
      <c r="J54" s="37"/>
    </row>
    <row r="55" spans="1:10" ht="16.5" hidden="1" customHeight="1">
      <c r="A55" s="26" t="s">
        <v>21</v>
      </c>
      <c r="B55" s="27" t="s">
        <v>20</v>
      </c>
      <c r="C55" s="27"/>
      <c r="D55" s="63"/>
      <c r="E55" s="64"/>
      <c r="F55" s="64">
        <f t="shared" si="2"/>
        <v>0</v>
      </c>
      <c r="G55" s="29"/>
      <c r="H55" s="28"/>
      <c r="I55" s="19"/>
      <c r="J55" s="37"/>
    </row>
    <row r="56" spans="1:10" ht="16.5" hidden="1" customHeight="1">
      <c r="A56" s="19" t="s">
        <v>35</v>
      </c>
      <c r="B56" s="21" t="s">
        <v>142</v>
      </c>
      <c r="C56" s="21"/>
      <c r="D56" s="61"/>
      <c r="E56" s="62"/>
      <c r="F56" s="62">
        <f>SUM(F50:F55)</f>
        <v>0</v>
      </c>
      <c r="G56" s="14"/>
      <c r="H56" s="13"/>
      <c r="I56" s="19"/>
      <c r="J56" s="37"/>
    </row>
    <row r="57" spans="1:10" ht="16.5" hidden="1" customHeight="1">
      <c r="A57" s="19"/>
      <c r="B57" s="13"/>
      <c r="C57" s="13"/>
      <c r="D57" s="61"/>
      <c r="E57" s="62"/>
      <c r="F57" s="62"/>
      <c r="G57" s="14"/>
      <c r="H57" s="13"/>
      <c r="I57" s="19"/>
      <c r="J57" s="37"/>
    </row>
    <row r="58" spans="1:10" hidden="1">
      <c r="A58" s="12">
        <v>5</v>
      </c>
      <c r="B58" s="7" t="s">
        <v>143</v>
      </c>
      <c r="C58" s="7"/>
      <c r="D58" s="61"/>
      <c r="E58" s="62"/>
      <c r="F58" s="62"/>
      <c r="G58" s="14"/>
      <c r="H58" s="13"/>
      <c r="I58" s="19"/>
      <c r="J58" s="37"/>
    </row>
    <row r="59" spans="1:10" ht="16.5" hidden="1" customHeight="1">
      <c r="A59" s="39" t="s">
        <v>8</v>
      </c>
      <c r="B59" s="40" t="s">
        <v>138</v>
      </c>
      <c r="C59" s="40"/>
      <c r="D59" s="61"/>
      <c r="E59" s="62">
        <v>1000</v>
      </c>
      <c r="F59" s="62">
        <f t="shared" ref="F59:F64" si="3">0.001*D59*E59</f>
        <v>0</v>
      </c>
      <c r="G59" s="14"/>
      <c r="H59" s="13" t="s">
        <v>10</v>
      </c>
      <c r="I59" s="19"/>
      <c r="J59" s="37"/>
    </row>
    <row r="60" spans="1:10" ht="16.5" hidden="1" customHeight="1">
      <c r="A60" s="39" t="s">
        <v>11</v>
      </c>
      <c r="B60" s="23" t="s">
        <v>17</v>
      </c>
      <c r="C60" s="23" t="s">
        <v>18</v>
      </c>
      <c r="D60" s="61"/>
      <c r="E60" s="62">
        <v>5</v>
      </c>
      <c r="F60" s="62">
        <f t="shared" si="3"/>
        <v>0</v>
      </c>
      <c r="G60" s="14"/>
      <c r="H60" s="13" t="s">
        <v>139</v>
      </c>
      <c r="I60" s="19"/>
      <c r="J60" s="37"/>
    </row>
    <row r="61" spans="1:10" ht="16.5" hidden="1" customHeight="1">
      <c r="A61" s="19" t="s">
        <v>13</v>
      </c>
      <c r="B61" s="41" t="s">
        <v>140</v>
      </c>
      <c r="C61" s="40" t="s">
        <v>15</v>
      </c>
      <c r="D61" s="61"/>
      <c r="E61" s="62">
        <v>6201</v>
      </c>
      <c r="F61" s="62">
        <f t="shared" si="3"/>
        <v>0</v>
      </c>
      <c r="G61" s="14"/>
      <c r="H61" s="13" t="s">
        <v>10</v>
      </c>
      <c r="I61" s="19"/>
      <c r="J61" s="37"/>
    </row>
    <row r="62" spans="1:10" ht="16.5" hidden="1" customHeight="1">
      <c r="A62" s="19" t="s">
        <v>16</v>
      </c>
      <c r="B62" s="41" t="s">
        <v>24</v>
      </c>
      <c r="C62" s="41" t="s">
        <v>27</v>
      </c>
      <c r="D62" s="67"/>
      <c r="E62" s="62">
        <v>15</v>
      </c>
      <c r="F62" s="62">
        <f t="shared" si="3"/>
        <v>0</v>
      </c>
      <c r="G62" s="14"/>
      <c r="H62" s="13" t="s">
        <v>139</v>
      </c>
      <c r="I62" s="19"/>
      <c r="J62" s="37"/>
    </row>
    <row r="63" spans="1:10" hidden="1">
      <c r="A63" s="19" t="s">
        <v>19</v>
      </c>
      <c r="B63" s="41" t="s">
        <v>141</v>
      </c>
      <c r="C63" s="41" t="s">
        <v>27</v>
      </c>
      <c r="D63" s="67"/>
      <c r="E63" s="62">
        <v>40</v>
      </c>
      <c r="F63" s="62">
        <f t="shared" si="3"/>
        <v>0</v>
      </c>
      <c r="G63" s="14"/>
      <c r="H63" s="13" t="s">
        <v>139</v>
      </c>
      <c r="I63" s="19"/>
      <c r="J63" s="37"/>
    </row>
    <row r="64" spans="1:10" ht="16.5" hidden="1" customHeight="1">
      <c r="A64" s="26" t="s">
        <v>21</v>
      </c>
      <c r="B64" s="27" t="s">
        <v>20</v>
      </c>
      <c r="C64" s="27"/>
      <c r="D64" s="63"/>
      <c r="E64" s="64"/>
      <c r="F64" s="64">
        <f t="shared" si="3"/>
        <v>0</v>
      </c>
      <c r="G64" s="29"/>
      <c r="H64" s="28"/>
      <c r="I64" s="19"/>
      <c r="J64" s="37"/>
    </row>
    <row r="65" spans="1:10" ht="16.5" hidden="1" customHeight="1">
      <c r="A65" s="19" t="s">
        <v>35</v>
      </c>
      <c r="B65" s="21" t="s">
        <v>144</v>
      </c>
      <c r="C65" s="21"/>
      <c r="D65" s="61"/>
      <c r="E65" s="62"/>
      <c r="F65" s="62">
        <f>SUM(F59:F64)</f>
        <v>0</v>
      </c>
      <c r="G65" s="14"/>
      <c r="H65" s="13"/>
      <c r="I65" s="19"/>
      <c r="J65" s="37"/>
    </row>
    <row r="66" spans="1:10" ht="16.5" hidden="1" customHeight="1">
      <c r="A66" s="19"/>
      <c r="B66" s="13"/>
      <c r="C66" s="13"/>
      <c r="D66" s="61"/>
      <c r="E66" s="62"/>
      <c r="F66" s="62"/>
      <c r="G66" s="14"/>
      <c r="H66" s="13"/>
      <c r="I66" s="19"/>
      <c r="J66" s="37"/>
    </row>
    <row r="67" spans="1:10" ht="16.5" hidden="1" customHeight="1">
      <c r="A67" s="12">
        <v>7</v>
      </c>
      <c r="B67" s="7" t="s">
        <v>145</v>
      </c>
      <c r="C67" s="7"/>
      <c r="D67" s="61"/>
      <c r="E67" s="62"/>
      <c r="F67" s="62"/>
      <c r="G67" s="14"/>
      <c r="H67" s="13"/>
      <c r="I67" s="19"/>
      <c r="J67" s="37"/>
    </row>
    <row r="68" spans="1:10" ht="16.5" hidden="1" customHeight="1">
      <c r="A68" s="19" t="s">
        <v>8</v>
      </c>
      <c r="B68" s="41" t="s">
        <v>140</v>
      </c>
      <c r="C68" s="41" t="s">
        <v>15</v>
      </c>
      <c r="D68" s="61"/>
      <c r="E68" s="62">
        <v>6200</v>
      </c>
      <c r="F68" s="62">
        <f>0.001*D68*E68</f>
        <v>0</v>
      </c>
      <c r="G68" s="14"/>
      <c r="H68" s="13" t="s">
        <v>10</v>
      </c>
      <c r="I68" s="19"/>
      <c r="J68" s="37"/>
    </row>
    <row r="69" spans="1:10" ht="16.5" hidden="1" customHeight="1">
      <c r="A69" s="19" t="s">
        <v>11</v>
      </c>
      <c r="B69" s="40" t="s">
        <v>24</v>
      </c>
      <c r="C69" s="40" t="s">
        <v>27</v>
      </c>
      <c r="D69" s="67"/>
      <c r="E69" s="62">
        <v>20</v>
      </c>
      <c r="F69" s="62">
        <f>0.001*D69*E69</f>
        <v>0</v>
      </c>
      <c r="G69" s="14"/>
      <c r="H69" s="13" t="s">
        <v>146</v>
      </c>
      <c r="I69" s="19"/>
      <c r="J69" s="37"/>
    </row>
    <row r="70" spans="1:10" hidden="1">
      <c r="A70" s="19" t="s">
        <v>13</v>
      </c>
      <c r="B70" s="20" t="s">
        <v>147</v>
      </c>
      <c r="C70" s="20" t="s">
        <v>27</v>
      </c>
      <c r="D70" s="67"/>
      <c r="E70" s="62">
        <v>40</v>
      </c>
      <c r="F70" s="62">
        <f>0.001*D70*E70</f>
        <v>0</v>
      </c>
      <c r="G70" s="14"/>
      <c r="H70" s="13" t="s">
        <v>146</v>
      </c>
      <c r="I70" s="19"/>
      <c r="J70" s="37"/>
    </row>
    <row r="71" spans="1:10" ht="16.5" hidden="1" customHeight="1">
      <c r="A71" s="19" t="s">
        <v>16</v>
      </c>
      <c r="B71" s="20" t="s">
        <v>57</v>
      </c>
      <c r="C71" s="20" t="s">
        <v>27</v>
      </c>
      <c r="D71" s="61"/>
      <c r="E71" s="62">
        <v>450</v>
      </c>
      <c r="F71" s="62">
        <f>0.001*D71*E71</f>
        <v>0</v>
      </c>
      <c r="G71" s="14"/>
      <c r="H71" s="13" t="s">
        <v>10</v>
      </c>
      <c r="I71" s="19"/>
      <c r="J71" s="37"/>
    </row>
    <row r="72" spans="1:10" ht="16.5" hidden="1" customHeight="1">
      <c r="A72" s="26" t="s">
        <v>16</v>
      </c>
      <c r="B72" s="27" t="s">
        <v>20</v>
      </c>
      <c r="C72" s="27"/>
      <c r="D72" s="63"/>
      <c r="E72" s="64"/>
      <c r="F72" s="64">
        <f>0.001*D72*E72</f>
        <v>0</v>
      </c>
      <c r="G72" s="29"/>
      <c r="H72" s="28"/>
      <c r="I72" s="19"/>
      <c r="J72" s="37"/>
    </row>
    <row r="73" spans="1:10" ht="16.5" hidden="1" customHeight="1">
      <c r="A73" s="19" t="s">
        <v>19</v>
      </c>
      <c r="B73" s="39" t="s">
        <v>148</v>
      </c>
      <c r="C73" s="19"/>
      <c r="D73" s="61"/>
      <c r="E73" s="62"/>
      <c r="F73" s="62">
        <f>SUM(F68:F72)</f>
        <v>0</v>
      </c>
      <c r="G73" s="14"/>
      <c r="H73" s="13"/>
      <c r="I73" s="19"/>
      <c r="J73" s="37"/>
    </row>
    <row r="74" spans="1:10" ht="16.5" customHeight="1">
      <c r="A74" s="19"/>
      <c r="B74" s="13"/>
      <c r="C74" s="13"/>
      <c r="D74" s="61"/>
      <c r="E74" s="62"/>
      <c r="F74" s="62"/>
      <c r="G74" s="14"/>
      <c r="H74" s="13"/>
      <c r="I74" s="19"/>
      <c r="J74" s="37"/>
    </row>
    <row r="75" spans="1:10" ht="16.5" customHeight="1">
      <c r="A75" s="12">
        <v>8</v>
      </c>
      <c r="B75" s="7" t="s">
        <v>58</v>
      </c>
      <c r="C75" s="7"/>
      <c r="D75" s="61"/>
      <c r="E75" s="62"/>
      <c r="F75" s="62"/>
      <c r="G75" s="14"/>
      <c r="H75" s="13"/>
      <c r="I75" s="19"/>
      <c r="J75" s="37"/>
    </row>
    <row r="76" spans="1:10" ht="16.5" customHeight="1">
      <c r="A76" s="19" t="s">
        <v>8</v>
      </c>
      <c r="B76" s="23" t="s">
        <v>163</v>
      </c>
      <c r="C76" s="20"/>
      <c r="D76" s="61">
        <v>1</v>
      </c>
      <c r="E76" s="239">
        <v>40000</v>
      </c>
      <c r="F76" s="239">
        <f t="shared" ref="F76:F81" si="4">0.001*D76*E76</f>
        <v>40</v>
      </c>
      <c r="G76" s="240"/>
      <c r="H76" s="142" t="s">
        <v>396</v>
      </c>
      <c r="I76" s="19"/>
      <c r="J76" s="37"/>
    </row>
    <row r="77" spans="1:10" ht="16.5" customHeight="1">
      <c r="A77" s="19" t="s">
        <v>11</v>
      </c>
      <c r="B77" s="20" t="s">
        <v>59</v>
      </c>
      <c r="C77" s="20"/>
      <c r="D77" s="191">
        <v>0</v>
      </c>
      <c r="E77" s="239">
        <v>20000</v>
      </c>
      <c r="F77" s="239">
        <f t="shared" si="4"/>
        <v>0</v>
      </c>
      <c r="G77" s="240"/>
      <c r="H77" s="142" t="s">
        <v>245</v>
      </c>
      <c r="I77" s="19"/>
      <c r="J77" s="37"/>
    </row>
    <row r="78" spans="1:10" ht="16.5" customHeight="1">
      <c r="A78" s="19" t="s">
        <v>13</v>
      </c>
      <c r="B78" s="20" t="s">
        <v>60</v>
      </c>
      <c r="C78" s="20"/>
      <c r="D78" s="61">
        <v>0</v>
      </c>
      <c r="E78" s="62">
        <v>5000</v>
      </c>
      <c r="F78" s="62">
        <f t="shared" si="4"/>
        <v>0</v>
      </c>
      <c r="G78" s="14"/>
      <c r="H78" s="142" t="s">
        <v>378</v>
      </c>
      <c r="I78" s="19"/>
      <c r="J78" s="37"/>
    </row>
    <row r="79" spans="1:10" ht="16.5" customHeight="1">
      <c r="A79" s="39" t="s">
        <v>16</v>
      </c>
      <c r="B79" s="23" t="s">
        <v>61</v>
      </c>
      <c r="C79" s="23" t="s">
        <v>15</v>
      </c>
      <c r="D79" s="191">
        <v>1.5</v>
      </c>
      <c r="E79" s="239">
        <v>60000</v>
      </c>
      <c r="F79" s="239">
        <f t="shared" si="4"/>
        <v>90</v>
      </c>
      <c r="G79" s="240"/>
      <c r="H79" s="142" t="s">
        <v>289</v>
      </c>
      <c r="I79" s="19"/>
      <c r="J79" s="37"/>
    </row>
    <row r="80" spans="1:10" ht="16.5" customHeight="1">
      <c r="A80" s="39" t="s">
        <v>19</v>
      </c>
      <c r="B80" s="20" t="s">
        <v>62</v>
      </c>
      <c r="C80" s="20"/>
      <c r="D80" s="61">
        <v>1</v>
      </c>
      <c r="E80" s="62">
        <v>20000</v>
      </c>
      <c r="F80" s="62">
        <f t="shared" si="4"/>
        <v>20</v>
      </c>
      <c r="G80" s="14"/>
      <c r="H80" s="13" t="s">
        <v>10</v>
      </c>
      <c r="I80" s="19"/>
      <c r="J80" s="37"/>
    </row>
    <row r="81" spans="1:10" ht="16.5" customHeight="1">
      <c r="A81" s="42" t="s">
        <v>21</v>
      </c>
      <c r="B81" s="27" t="s">
        <v>149</v>
      </c>
      <c r="C81" s="27"/>
      <c r="D81" s="63">
        <v>1</v>
      </c>
      <c r="E81" s="64">
        <v>7500</v>
      </c>
      <c r="F81" s="64">
        <f t="shared" si="4"/>
        <v>7.5</v>
      </c>
      <c r="G81" s="29"/>
      <c r="H81" s="28" t="s">
        <v>10</v>
      </c>
      <c r="I81" s="19"/>
      <c r="J81" s="37"/>
    </row>
    <row r="82" spans="1:10" ht="16.5" customHeight="1">
      <c r="A82" s="39" t="s">
        <v>35</v>
      </c>
      <c r="B82" s="39" t="s">
        <v>63</v>
      </c>
      <c r="C82" s="13"/>
      <c r="D82" s="61"/>
      <c r="E82" s="62"/>
      <c r="F82" s="62">
        <f>SUM(F76:F81)</f>
        <v>157.5</v>
      </c>
      <c r="G82" s="14"/>
      <c r="H82" s="13"/>
      <c r="I82" s="19"/>
      <c r="J82" s="37"/>
    </row>
    <row r="83" spans="1:10" ht="16.5" customHeight="1">
      <c r="A83" s="19"/>
      <c r="B83" s="13"/>
      <c r="C83" s="13"/>
      <c r="D83" s="61"/>
      <c r="E83" s="62"/>
      <c r="F83" s="62"/>
      <c r="G83" s="14"/>
      <c r="H83" s="13"/>
      <c r="I83" s="19"/>
      <c r="J83" s="37"/>
    </row>
    <row r="84" spans="1:10" ht="16.5" customHeight="1">
      <c r="A84" s="12">
        <v>9</v>
      </c>
      <c r="B84" s="7" t="s">
        <v>247</v>
      </c>
      <c r="C84" s="7"/>
      <c r="D84" s="61"/>
      <c r="E84" s="62"/>
      <c r="F84" s="62"/>
      <c r="G84" s="14"/>
      <c r="H84" s="13"/>
      <c r="I84" s="19"/>
      <c r="J84" s="37"/>
    </row>
    <row r="85" spans="1:10" ht="16.5" customHeight="1">
      <c r="A85" s="19" t="s">
        <v>8</v>
      </c>
      <c r="B85" s="172" t="s">
        <v>248</v>
      </c>
      <c r="C85" s="41" t="s">
        <v>64</v>
      </c>
      <c r="D85" s="191">
        <v>3</v>
      </c>
      <c r="E85" s="239">
        <v>50000</v>
      </c>
      <c r="F85" s="239">
        <f t="shared" ref="F85:F90" si="5">0.001*D85*E85</f>
        <v>150</v>
      </c>
      <c r="G85" s="240"/>
      <c r="H85" s="142" t="s">
        <v>10</v>
      </c>
      <c r="I85" s="19"/>
      <c r="J85" s="37"/>
    </row>
    <row r="86" spans="1:10" ht="16.5" customHeight="1">
      <c r="A86" s="19" t="s">
        <v>11</v>
      </c>
      <c r="B86" s="41" t="s">
        <v>65</v>
      </c>
      <c r="C86" s="41" t="s">
        <v>64</v>
      </c>
      <c r="D86" s="191">
        <v>2.5</v>
      </c>
      <c r="E86" s="239">
        <v>75000</v>
      </c>
      <c r="F86" s="239">
        <f t="shared" si="5"/>
        <v>187.5</v>
      </c>
      <c r="G86" s="240"/>
      <c r="H86" s="142" t="s">
        <v>397</v>
      </c>
      <c r="I86" s="19"/>
      <c r="J86" s="37"/>
    </row>
    <row r="87" spans="1:10" ht="16.5" customHeight="1">
      <c r="A87" s="19" t="s">
        <v>13</v>
      </c>
      <c r="B87" s="172" t="s">
        <v>249</v>
      </c>
      <c r="C87" s="41"/>
      <c r="D87" s="191">
        <v>1</v>
      </c>
      <c r="E87" s="239">
        <v>50000</v>
      </c>
      <c r="F87" s="239">
        <f t="shared" si="5"/>
        <v>50</v>
      </c>
      <c r="G87" s="240"/>
      <c r="H87" s="142" t="s">
        <v>10</v>
      </c>
      <c r="I87" s="19"/>
      <c r="J87" s="37"/>
    </row>
    <row r="88" spans="1:10">
      <c r="A88" s="19" t="s">
        <v>16</v>
      </c>
      <c r="B88" s="172" t="s">
        <v>250</v>
      </c>
      <c r="C88" s="41"/>
      <c r="D88" s="191">
        <v>1</v>
      </c>
      <c r="E88" s="239">
        <v>25000</v>
      </c>
      <c r="F88" s="239">
        <f t="shared" si="5"/>
        <v>25</v>
      </c>
      <c r="G88" s="240"/>
      <c r="H88" s="142" t="s">
        <v>10</v>
      </c>
      <c r="I88" s="19"/>
      <c r="J88" s="37"/>
    </row>
    <row r="89" spans="1:10" ht="16.5" customHeight="1">
      <c r="A89" s="19" t="s">
        <v>19</v>
      </c>
      <c r="B89" s="41" t="s">
        <v>66</v>
      </c>
      <c r="C89" s="41"/>
      <c r="D89" s="191">
        <v>1</v>
      </c>
      <c r="E89" s="239">
        <v>25000</v>
      </c>
      <c r="F89" s="239">
        <f t="shared" si="5"/>
        <v>25</v>
      </c>
      <c r="G89" s="240"/>
      <c r="H89" s="142" t="s">
        <v>10</v>
      </c>
      <c r="I89" s="19"/>
      <c r="J89" s="37"/>
    </row>
    <row r="90" spans="1:10" ht="16.5" customHeight="1">
      <c r="A90" s="26" t="s">
        <v>21</v>
      </c>
      <c r="B90" s="192" t="s">
        <v>251</v>
      </c>
      <c r="C90" s="27"/>
      <c r="D90" s="184">
        <v>1</v>
      </c>
      <c r="E90" s="242">
        <v>50000</v>
      </c>
      <c r="F90" s="242">
        <f t="shared" si="5"/>
        <v>50</v>
      </c>
      <c r="G90" s="243"/>
      <c r="H90" s="238" t="s">
        <v>273</v>
      </c>
      <c r="I90" s="19"/>
      <c r="J90" s="37"/>
    </row>
    <row r="91" spans="1:10" ht="16.5" customHeight="1">
      <c r="A91" s="19" t="s">
        <v>35</v>
      </c>
      <c r="B91" s="185" t="s">
        <v>322</v>
      </c>
      <c r="C91" s="21"/>
      <c r="D91" s="61"/>
      <c r="E91" s="62"/>
      <c r="F91" s="62">
        <f>SUM(F85:F90)</f>
        <v>487.5</v>
      </c>
      <c r="G91" s="14"/>
      <c r="H91" s="13"/>
      <c r="I91" s="19"/>
      <c r="J91" s="37"/>
    </row>
    <row r="92" spans="1:10" ht="16.5" customHeight="1">
      <c r="A92" s="19"/>
      <c r="B92" s="13"/>
      <c r="C92" s="13"/>
      <c r="D92" s="61"/>
      <c r="E92" s="62"/>
      <c r="F92" s="62"/>
      <c r="G92" s="14"/>
      <c r="H92" s="13"/>
      <c r="I92" s="19"/>
      <c r="J92" s="37"/>
    </row>
    <row r="93" spans="1:10" ht="16.5" customHeight="1">
      <c r="A93" s="12">
        <v>10</v>
      </c>
      <c r="B93" s="7" t="s">
        <v>67</v>
      </c>
      <c r="C93" s="7"/>
      <c r="D93" s="61"/>
      <c r="E93" s="62"/>
      <c r="F93" s="62"/>
      <c r="G93" s="14"/>
      <c r="H93" s="13"/>
      <c r="I93" s="19"/>
      <c r="J93" s="37"/>
    </row>
    <row r="94" spans="1:10" ht="16.5" customHeight="1">
      <c r="A94" s="19" t="s">
        <v>8</v>
      </c>
      <c r="B94" s="41" t="s">
        <v>68</v>
      </c>
      <c r="C94" s="41"/>
      <c r="D94" s="69">
        <v>1</v>
      </c>
      <c r="E94" s="66">
        <v>5000</v>
      </c>
      <c r="F94" s="62">
        <f>0.001*D94*E94</f>
        <v>5</v>
      </c>
      <c r="G94" s="14"/>
      <c r="H94" s="13" t="s">
        <v>10</v>
      </c>
      <c r="I94" s="19"/>
      <c r="J94" s="37"/>
    </row>
    <row r="95" spans="1:10">
      <c r="A95" s="19" t="s">
        <v>11</v>
      </c>
      <c r="B95" s="41" t="s">
        <v>69</v>
      </c>
      <c r="C95" s="41"/>
      <c r="D95" s="246">
        <v>1</v>
      </c>
      <c r="E95" s="247">
        <v>20000</v>
      </c>
      <c r="F95" s="239">
        <f>0.001*D95*E95</f>
        <v>20</v>
      </c>
      <c r="G95" s="240"/>
      <c r="H95" s="176" t="s">
        <v>290</v>
      </c>
      <c r="I95" s="19"/>
      <c r="J95" s="37"/>
    </row>
    <row r="96" spans="1:10" ht="16.5" customHeight="1">
      <c r="A96" s="19" t="s">
        <v>13</v>
      </c>
      <c r="B96" s="41" t="s">
        <v>70</v>
      </c>
      <c r="C96" s="41"/>
      <c r="D96" s="69">
        <v>1</v>
      </c>
      <c r="E96" s="66">
        <v>5000</v>
      </c>
      <c r="F96" s="62">
        <f>0.001*D96*E96</f>
        <v>5</v>
      </c>
      <c r="G96" s="14"/>
      <c r="H96" s="13" t="s">
        <v>10</v>
      </c>
      <c r="I96" s="19"/>
      <c r="J96" s="37"/>
    </row>
    <row r="97" spans="1:10" ht="15.75" customHeight="1">
      <c r="A97" s="19" t="s">
        <v>16</v>
      </c>
      <c r="B97" s="41" t="s">
        <v>71</v>
      </c>
      <c r="C97" s="41"/>
      <c r="D97" s="69">
        <v>1</v>
      </c>
      <c r="E97" s="66">
        <v>10000</v>
      </c>
      <c r="F97" s="62">
        <f>0.001*D97*E97</f>
        <v>10</v>
      </c>
      <c r="G97" s="14"/>
      <c r="H97" s="13" t="s">
        <v>10</v>
      </c>
      <c r="I97" s="19"/>
      <c r="J97" s="37"/>
    </row>
    <row r="98" spans="1:10" ht="16.5" customHeight="1">
      <c r="A98" s="26" t="s">
        <v>19</v>
      </c>
      <c r="B98" s="27" t="s">
        <v>20</v>
      </c>
      <c r="C98" s="27"/>
      <c r="D98" s="63"/>
      <c r="E98" s="64"/>
      <c r="F98" s="64">
        <f>0.001*D98*E98</f>
        <v>0</v>
      </c>
      <c r="G98" s="29"/>
      <c r="H98" s="28"/>
      <c r="I98" s="19"/>
      <c r="J98" s="37"/>
    </row>
    <row r="99" spans="1:10" ht="16.5" customHeight="1">
      <c r="A99" s="19" t="s">
        <v>21</v>
      </c>
      <c r="B99" s="39" t="s">
        <v>72</v>
      </c>
      <c r="C99" s="39"/>
      <c r="D99" s="61"/>
      <c r="E99" s="62"/>
      <c r="F99" s="62">
        <f>SUM(F94:F98)</f>
        <v>40</v>
      </c>
      <c r="G99" s="14"/>
      <c r="H99" s="13"/>
      <c r="I99" s="19"/>
      <c r="J99" s="37"/>
    </row>
    <row r="100" spans="1:10" ht="16.5" customHeight="1">
      <c r="A100" s="13"/>
      <c r="B100" s="13"/>
      <c r="C100" s="13"/>
      <c r="D100" s="61"/>
      <c r="E100" s="62"/>
      <c r="F100" s="62"/>
      <c r="G100" s="14"/>
      <c r="H100" s="13"/>
      <c r="I100" s="19"/>
      <c r="J100" s="37"/>
    </row>
    <row r="101" spans="1:10" ht="16.5" customHeight="1">
      <c r="A101" s="12">
        <v>11</v>
      </c>
      <c r="B101" s="7" t="s">
        <v>73</v>
      </c>
      <c r="C101" s="7"/>
      <c r="D101" s="61"/>
      <c r="E101" s="62"/>
      <c r="F101" s="62"/>
      <c r="G101" s="14"/>
      <c r="H101" s="13"/>
      <c r="I101" s="19"/>
      <c r="J101" s="37"/>
    </row>
    <row r="102" spans="1:10" ht="16.5" customHeight="1">
      <c r="A102" s="19" t="s">
        <v>8</v>
      </c>
      <c r="B102" s="20" t="s">
        <v>14</v>
      </c>
      <c r="C102" s="20" t="s">
        <v>15</v>
      </c>
      <c r="D102" s="191">
        <v>1</v>
      </c>
      <c r="E102" s="239">
        <v>6200</v>
      </c>
      <c r="F102" s="239">
        <f>0.001*D102*E102</f>
        <v>6.2</v>
      </c>
      <c r="G102" s="240"/>
      <c r="H102" s="142" t="s">
        <v>10</v>
      </c>
      <c r="I102" s="19"/>
      <c r="J102" s="37"/>
    </row>
    <row r="103" spans="1:10" ht="16.5" customHeight="1">
      <c r="A103" s="19" t="s">
        <v>11</v>
      </c>
      <c r="B103" s="20" t="s">
        <v>74</v>
      </c>
      <c r="C103" s="20"/>
      <c r="D103" s="191">
        <v>1</v>
      </c>
      <c r="E103" s="239">
        <f>'Interconnect Costs'!K6</f>
        <v>52000</v>
      </c>
      <c r="F103" s="239">
        <f>0.001*D103*E103</f>
        <v>52</v>
      </c>
      <c r="G103" s="240"/>
      <c r="H103" s="142" t="s">
        <v>274</v>
      </c>
      <c r="I103" s="19"/>
      <c r="J103" s="37"/>
    </row>
    <row r="104" spans="1:10" ht="16.5" customHeight="1">
      <c r="A104" s="19" t="s">
        <v>13</v>
      </c>
      <c r="B104" s="20" t="s">
        <v>75</v>
      </c>
      <c r="C104" s="20"/>
      <c r="D104" s="191">
        <v>1</v>
      </c>
      <c r="E104" s="239">
        <v>10000</v>
      </c>
      <c r="F104" s="239">
        <f>0.001*D104*E104</f>
        <v>10</v>
      </c>
      <c r="G104" s="240"/>
      <c r="H104" s="142" t="s">
        <v>10</v>
      </c>
      <c r="I104" s="19"/>
      <c r="J104" s="37"/>
    </row>
    <row r="105" spans="1:10" ht="32.25" customHeight="1">
      <c r="A105" s="19" t="s">
        <v>13</v>
      </c>
      <c r="B105" s="20" t="s">
        <v>76</v>
      </c>
      <c r="C105" s="20"/>
      <c r="D105" s="191">
        <v>1</v>
      </c>
      <c r="E105" s="239">
        <f>'Interconnect Costs'!K7+'Interconnect Costs'!K8+'Interconnect Costs'!K9</f>
        <v>50000</v>
      </c>
      <c r="F105" s="239">
        <f>0.001*D105*E105</f>
        <v>50</v>
      </c>
      <c r="G105" s="240"/>
      <c r="H105" s="142" t="s">
        <v>267</v>
      </c>
      <c r="I105" s="19"/>
      <c r="J105" s="37"/>
    </row>
    <row r="106" spans="1:10" ht="16.5" customHeight="1">
      <c r="A106" s="26" t="s">
        <v>16</v>
      </c>
      <c r="B106" s="192" t="s">
        <v>248</v>
      </c>
      <c r="C106" s="27"/>
      <c r="D106" s="184">
        <v>1</v>
      </c>
      <c r="E106" s="242">
        <v>20000</v>
      </c>
      <c r="F106" s="242">
        <f>0.001*D106*E106</f>
        <v>20</v>
      </c>
      <c r="G106" s="243"/>
      <c r="H106" s="238" t="s">
        <v>10</v>
      </c>
      <c r="I106" s="19"/>
      <c r="J106" s="37"/>
    </row>
    <row r="107" spans="1:10">
      <c r="A107" s="19" t="s">
        <v>21</v>
      </c>
      <c r="B107" s="19" t="s">
        <v>77</v>
      </c>
      <c r="C107" s="19"/>
      <c r="D107" s="191"/>
      <c r="E107" s="239"/>
      <c r="F107" s="239">
        <f>SUM(F102:F106)</f>
        <v>138.19999999999999</v>
      </c>
      <c r="G107" s="240"/>
      <c r="H107" s="142"/>
      <c r="I107" s="19"/>
      <c r="J107" s="37"/>
    </row>
    <row r="108" spans="1:10" ht="16.5" customHeight="1">
      <c r="A108" s="13"/>
      <c r="B108" s="13"/>
      <c r="C108" s="13"/>
      <c r="D108" s="61"/>
      <c r="E108" s="62"/>
      <c r="F108" s="62"/>
      <c r="G108" s="14"/>
      <c r="H108" s="13"/>
      <c r="I108" s="19"/>
      <c r="J108" s="37"/>
    </row>
    <row r="109" spans="1:10" ht="16.5" customHeight="1">
      <c r="A109" s="12">
        <v>12</v>
      </c>
      <c r="B109" s="7" t="s">
        <v>78</v>
      </c>
      <c r="C109" s="7"/>
      <c r="D109" s="61"/>
      <c r="E109" s="62"/>
      <c r="F109" s="62"/>
      <c r="G109" s="14"/>
      <c r="H109" s="13"/>
      <c r="I109" s="19"/>
      <c r="J109" s="37"/>
    </row>
    <row r="110" spans="1:10" ht="16.5" customHeight="1">
      <c r="A110" s="19" t="s">
        <v>8</v>
      </c>
      <c r="B110" s="20" t="s">
        <v>79</v>
      </c>
      <c r="C110" s="20"/>
      <c r="D110" s="61">
        <v>1</v>
      </c>
      <c r="E110" s="62">
        <f>F130*1000*0.08</f>
        <v>272233.3622490011</v>
      </c>
      <c r="F110" s="62">
        <f t="shared" ref="F110:F115" si="6">0.001*D110*E110</f>
        <v>272.23336224900112</v>
      </c>
      <c r="G110" s="14"/>
      <c r="H110" s="36" t="s">
        <v>164</v>
      </c>
      <c r="I110" s="19"/>
      <c r="J110" s="37"/>
    </row>
    <row r="111" spans="1:10">
      <c r="A111" s="19" t="s">
        <v>11</v>
      </c>
      <c r="B111" s="20" t="s">
        <v>80</v>
      </c>
      <c r="C111" s="20"/>
      <c r="D111" s="61">
        <v>1</v>
      </c>
      <c r="E111" s="62">
        <v>25000</v>
      </c>
      <c r="F111" s="62">
        <f t="shared" si="6"/>
        <v>25</v>
      </c>
      <c r="G111" s="14"/>
      <c r="H111" s="13" t="s">
        <v>10</v>
      </c>
      <c r="I111" s="19"/>
      <c r="J111" s="37"/>
    </row>
    <row r="112" spans="1:10" ht="16.5" customHeight="1">
      <c r="A112" s="19" t="s">
        <v>13</v>
      </c>
      <c r="B112" s="20" t="s">
        <v>81</v>
      </c>
      <c r="C112" s="20"/>
      <c r="D112" s="61">
        <v>1</v>
      </c>
      <c r="E112" s="62">
        <v>20000</v>
      </c>
      <c r="F112" s="62">
        <f t="shared" si="6"/>
        <v>20</v>
      </c>
      <c r="G112" s="14"/>
      <c r="H112" s="13" t="s">
        <v>82</v>
      </c>
      <c r="I112" s="19"/>
      <c r="J112" s="37"/>
    </row>
    <row r="113" spans="1:10" ht="16.5" customHeight="1">
      <c r="A113" s="19" t="s">
        <v>16</v>
      </c>
      <c r="B113" s="20" t="s">
        <v>83</v>
      </c>
      <c r="C113" s="20"/>
      <c r="D113" s="61">
        <v>1</v>
      </c>
      <c r="E113" s="62">
        <v>35000</v>
      </c>
      <c r="F113" s="62">
        <f t="shared" si="6"/>
        <v>35</v>
      </c>
      <c r="G113" s="14"/>
      <c r="H113" s="13" t="s">
        <v>91</v>
      </c>
      <c r="I113" s="19"/>
      <c r="J113" s="37"/>
    </row>
    <row r="114" spans="1:10">
      <c r="A114" s="19" t="s">
        <v>19</v>
      </c>
      <c r="B114" s="20" t="s">
        <v>84</v>
      </c>
      <c r="C114" s="20"/>
      <c r="D114" s="61">
        <v>1</v>
      </c>
      <c r="E114" s="62">
        <v>100000</v>
      </c>
      <c r="F114" s="62">
        <f t="shared" si="6"/>
        <v>100</v>
      </c>
      <c r="G114" s="14"/>
      <c r="H114" s="13" t="s">
        <v>10</v>
      </c>
      <c r="I114" s="19"/>
      <c r="J114" s="37"/>
    </row>
    <row r="115" spans="1:10" ht="16.5" customHeight="1">
      <c r="A115" s="26" t="s">
        <v>21</v>
      </c>
      <c r="B115" s="27" t="s">
        <v>20</v>
      </c>
      <c r="C115" s="27"/>
      <c r="D115" s="63"/>
      <c r="E115" s="64"/>
      <c r="F115" s="64">
        <f t="shared" si="6"/>
        <v>0</v>
      </c>
      <c r="G115" s="29"/>
      <c r="H115" s="28"/>
      <c r="I115" s="19"/>
      <c r="J115" s="37"/>
    </row>
    <row r="116" spans="1:10" ht="16.5" customHeight="1">
      <c r="A116" s="19" t="s">
        <v>35</v>
      </c>
      <c r="B116" s="19" t="s">
        <v>85</v>
      </c>
      <c r="C116" s="19"/>
      <c r="D116" s="61"/>
      <c r="E116" s="62"/>
      <c r="F116" s="62">
        <f>SUM(F110:F115)</f>
        <v>452.23336224900112</v>
      </c>
      <c r="G116" s="14"/>
      <c r="H116" s="13"/>
      <c r="I116" s="19"/>
      <c r="J116" s="37"/>
    </row>
    <row r="117" spans="1:10" ht="16.5" customHeight="1">
      <c r="A117" s="13"/>
      <c r="B117" s="13"/>
      <c r="C117" s="13"/>
      <c r="D117" s="61"/>
      <c r="E117" s="62"/>
      <c r="F117" s="62"/>
      <c r="G117" s="14"/>
      <c r="H117" s="13"/>
      <c r="I117" s="19"/>
      <c r="J117" s="37"/>
    </row>
    <row r="118" spans="1:10" ht="16.5" customHeight="1">
      <c r="A118" s="12"/>
      <c r="B118" s="7" t="s">
        <v>86</v>
      </c>
      <c r="C118" s="7"/>
      <c r="D118" s="61"/>
      <c r="E118" s="62"/>
      <c r="F118" s="62"/>
      <c r="G118" s="14"/>
      <c r="H118" s="13"/>
      <c r="I118" s="19"/>
      <c r="J118" s="37"/>
    </row>
    <row r="119" spans="1:10" ht="16.5" customHeight="1">
      <c r="A119" s="12">
        <f>A$2</f>
        <v>1</v>
      </c>
      <c r="B119" s="13" t="str">
        <f>B$2</f>
        <v>General</v>
      </c>
      <c r="C119" s="13"/>
      <c r="D119" s="61"/>
      <c r="E119" s="62"/>
      <c r="F119" s="62">
        <f>F$8</f>
        <v>177</v>
      </c>
      <c r="G119" s="14"/>
      <c r="H119" s="13"/>
      <c r="I119" s="19"/>
      <c r="J119" s="37"/>
    </row>
    <row r="120" spans="1:10" ht="16.5" customHeight="1">
      <c r="A120" s="12">
        <f>A$10</f>
        <v>2</v>
      </c>
      <c r="B120" s="13" t="str">
        <f>B$10</f>
        <v>Powerhouse/Intake</v>
      </c>
      <c r="C120" s="13"/>
      <c r="D120" s="61"/>
      <c r="E120" s="62"/>
      <c r="F120" s="62">
        <f>F$30</f>
        <v>1682.4653161125134</v>
      </c>
      <c r="G120" s="14"/>
      <c r="H120" s="13"/>
      <c r="I120" s="19"/>
      <c r="J120" s="37"/>
    </row>
    <row r="121" spans="1:10" ht="16.5" customHeight="1">
      <c r="A121" s="12">
        <f>A$32</f>
        <v>3</v>
      </c>
      <c r="B121" s="13" t="str">
        <f>B$32</f>
        <v>Equipment</v>
      </c>
      <c r="C121" s="13"/>
      <c r="D121" s="61"/>
      <c r="E121" s="62"/>
      <c r="F121" s="62">
        <f>F$39</f>
        <v>720.251712</v>
      </c>
      <c r="G121" s="14"/>
      <c r="H121" s="13"/>
      <c r="I121" s="19"/>
      <c r="J121" s="37"/>
    </row>
    <row r="122" spans="1:10" ht="16.5" hidden="1" customHeight="1">
      <c r="A122" s="43">
        <f>A$41</f>
        <v>4</v>
      </c>
      <c r="B122" s="11" t="str">
        <f>B$41</f>
        <v xml:space="preserve">Spillway </v>
      </c>
      <c r="E122" s="66"/>
      <c r="F122" s="66">
        <f>F$47</f>
        <v>0</v>
      </c>
      <c r="G122" s="44"/>
      <c r="I122" s="19"/>
      <c r="J122" s="37"/>
    </row>
    <row r="123" spans="1:10" ht="16.5" hidden="1" customHeight="1">
      <c r="A123" s="43">
        <f>A$49</f>
        <v>5</v>
      </c>
      <c r="B123" s="11" t="str">
        <f>B$49</f>
        <v>East (left) Dike</v>
      </c>
      <c r="E123" s="66"/>
      <c r="F123" s="66">
        <f>F$56</f>
        <v>0</v>
      </c>
      <c r="G123" s="33"/>
      <c r="I123" s="19"/>
      <c r="J123" s="37"/>
    </row>
    <row r="124" spans="1:10" ht="16.5" hidden="1" customHeight="1">
      <c r="A124" s="43">
        <f>A$58</f>
        <v>5</v>
      </c>
      <c r="B124" s="11" t="str">
        <f>B$58</f>
        <v>West (right) Dike</v>
      </c>
      <c r="E124" s="66"/>
      <c r="F124" s="66">
        <f>F$65</f>
        <v>0</v>
      </c>
      <c r="G124" s="33"/>
      <c r="I124" s="19"/>
      <c r="J124" s="37"/>
    </row>
    <row r="125" spans="1:10" ht="16.5" hidden="1" customHeight="1">
      <c r="A125" s="43">
        <f>A$67</f>
        <v>7</v>
      </c>
      <c r="B125" s="11" t="str">
        <f>B$67</f>
        <v>Canal</v>
      </c>
      <c r="E125" s="66"/>
      <c r="F125" s="66">
        <f>F$73</f>
        <v>0</v>
      </c>
      <c r="G125" s="33"/>
      <c r="I125" s="19"/>
      <c r="J125" s="37"/>
    </row>
    <row r="126" spans="1:10" ht="16.5" customHeight="1">
      <c r="A126" s="43">
        <f>A$75</f>
        <v>8</v>
      </c>
      <c r="B126" s="11" t="str">
        <f>B$75</f>
        <v>PM&amp;E Measures</v>
      </c>
      <c r="E126" s="66"/>
      <c r="F126" s="66">
        <f>F$82</f>
        <v>157.5</v>
      </c>
      <c r="G126" s="33"/>
      <c r="I126" s="19"/>
      <c r="J126" s="37"/>
    </row>
    <row r="127" spans="1:10" ht="16.5" customHeight="1">
      <c r="A127" s="43">
        <f>A$84</f>
        <v>9</v>
      </c>
      <c r="B127" s="176" t="s">
        <v>247</v>
      </c>
      <c r="E127" s="66"/>
      <c r="F127" s="66">
        <f>F$91</f>
        <v>487.5</v>
      </c>
      <c r="G127" s="33"/>
      <c r="I127" s="19"/>
      <c r="J127" s="37"/>
    </row>
    <row r="128" spans="1:10" ht="16.5" customHeight="1">
      <c r="A128" s="43">
        <f>A$93</f>
        <v>10</v>
      </c>
      <c r="B128" s="11" t="str">
        <f>B$93</f>
        <v>Land &amp; Land Rights</v>
      </c>
      <c r="E128" s="66"/>
      <c r="F128" s="66">
        <f>F$99</f>
        <v>40</v>
      </c>
      <c r="G128" s="33"/>
      <c r="I128" s="19"/>
      <c r="J128" s="37"/>
    </row>
    <row r="129" spans="1:10" ht="16.5" customHeight="1">
      <c r="A129" s="45">
        <f>A$101</f>
        <v>11</v>
      </c>
      <c r="B129" s="46" t="str">
        <f>B$101</f>
        <v>Interconnection</v>
      </c>
      <c r="C129" s="46"/>
      <c r="D129" s="70"/>
      <c r="E129" s="71"/>
      <c r="F129" s="71">
        <f>F$107</f>
        <v>138.19999999999999</v>
      </c>
      <c r="G129" s="47"/>
      <c r="H129" s="183"/>
      <c r="I129" s="19"/>
      <c r="J129" s="37"/>
    </row>
    <row r="130" spans="1:10" ht="16.5" customHeight="1">
      <c r="A130" s="43"/>
      <c r="B130" s="48" t="s">
        <v>87</v>
      </c>
      <c r="C130" s="48"/>
      <c r="E130" s="66"/>
      <c r="F130" s="66">
        <f>SUM(F119:F129)</f>
        <v>3402.9170281125134</v>
      </c>
      <c r="G130" s="33"/>
      <c r="I130" s="19"/>
      <c r="J130" s="37"/>
    </row>
    <row r="131" spans="1:10" ht="16.5" customHeight="1">
      <c r="A131" s="43"/>
      <c r="B131" s="48"/>
      <c r="C131" s="48"/>
      <c r="E131" s="66"/>
      <c r="F131" s="66"/>
      <c r="G131" s="33"/>
      <c r="I131" s="19"/>
      <c r="J131" s="37"/>
    </row>
    <row r="132" spans="1:10" ht="16.5" customHeight="1">
      <c r="A132" s="45">
        <f>A$109</f>
        <v>12</v>
      </c>
      <c r="B132" s="46" t="str">
        <f>B$109</f>
        <v>Indirect Costs</v>
      </c>
      <c r="C132" s="46"/>
      <c r="D132" s="70"/>
      <c r="E132" s="71"/>
      <c r="F132" s="71">
        <f>F$116</f>
        <v>452.23336224900112</v>
      </c>
      <c r="G132" s="47"/>
      <c r="H132" s="46"/>
      <c r="I132" s="19"/>
      <c r="J132" s="37"/>
    </row>
    <row r="133" spans="1:10" ht="16.5" customHeight="1">
      <c r="A133" s="43"/>
      <c r="B133" s="48" t="s">
        <v>88</v>
      </c>
      <c r="C133" s="48"/>
      <c r="E133" s="66"/>
      <c r="F133" s="72">
        <f>F$130+F$132</f>
        <v>3855.1503903615144</v>
      </c>
      <c r="G133" s="49"/>
      <c r="I133" s="19"/>
      <c r="J133" s="37"/>
    </row>
    <row r="134" spans="1:10" ht="16.5" customHeight="1">
      <c r="A134" s="43"/>
      <c r="B134" s="48"/>
      <c r="C134" s="48"/>
      <c r="E134" s="66"/>
      <c r="F134" s="72"/>
      <c r="G134" s="49"/>
      <c r="I134" s="19"/>
      <c r="J134" s="37"/>
    </row>
    <row r="135" spans="1:10" ht="16.5" customHeight="1">
      <c r="A135" s="45">
        <v>13</v>
      </c>
      <c r="B135" s="46" t="s">
        <v>89</v>
      </c>
      <c r="C135" s="46"/>
      <c r="D135" s="73">
        <f>F$133*1000</f>
        <v>3855150.3903615144</v>
      </c>
      <c r="E135" s="245">
        <v>0.2</v>
      </c>
      <c r="F135" s="71">
        <f>D135*E135*0.001</f>
        <v>771.03007807230301</v>
      </c>
      <c r="G135" s="47"/>
      <c r="H135" s="46"/>
      <c r="I135" s="19"/>
      <c r="J135" s="37"/>
    </row>
    <row r="136" spans="1:10" ht="16.5" customHeight="1">
      <c r="E136" s="66"/>
      <c r="F136" s="66"/>
      <c r="G136" s="33"/>
      <c r="I136" s="19"/>
      <c r="J136" s="37"/>
    </row>
    <row r="137" spans="1:10" ht="16.5" customHeight="1">
      <c r="A137" s="12"/>
      <c r="B137" s="50" t="s">
        <v>90</v>
      </c>
      <c r="C137" s="7"/>
      <c r="D137" s="61"/>
      <c r="E137" s="62"/>
      <c r="F137" s="60">
        <f>F$133+F$135</f>
        <v>4626.1804684338176</v>
      </c>
      <c r="G137" s="8"/>
      <c r="H137" s="13"/>
      <c r="I137" s="19"/>
      <c r="J137" s="37"/>
    </row>
    <row r="138" spans="1:10">
      <c r="I138" s="19"/>
      <c r="J138" s="37"/>
    </row>
    <row r="139" spans="1:10">
      <c r="I139" s="19"/>
      <c r="J139" s="37"/>
    </row>
    <row r="140" spans="1:10">
      <c r="I140" s="19"/>
      <c r="J140" s="37"/>
    </row>
    <row r="141" spans="1:10">
      <c r="I141" s="19"/>
      <c r="J141" s="37"/>
    </row>
    <row r="142" spans="1:10">
      <c r="I142" s="19"/>
      <c r="J142" s="37"/>
    </row>
    <row r="143" spans="1:10">
      <c r="I143" s="19"/>
      <c r="J143" s="37"/>
    </row>
    <row r="144" spans="1:10">
      <c r="I144" s="19"/>
      <c r="J144" s="37"/>
    </row>
    <row r="145" spans="9:10">
      <c r="I145" s="19"/>
      <c r="J145" s="37"/>
    </row>
    <row r="146" spans="9:10">
      <c r="I146" s="19"/>
      <c r="J146" s="37"/>
    </row>
    <row r="147" spans="9:10">
      <c r="I147" s="19"/>
      <c r="J147" s="37"/>
    </row>
    <row r="148" spans="9:10">
      <c r="I148" s="19"/>
      <c r="J148" s="37"/>
    </row>
    <row r="149" spans="9:10">
      <c r="I149" s="19"/>
      <c r="J149" s="37"/>
    </row>
    <row r="150" spans="9:10">
      <c r="I150" s="19"/>
      <c r="J150" s="37"/>
    </row>
    <row r="151" spans="9:10">
      <c r="I151" s="19"/>
      <c r="J151" s="37"/>
    </row>
    <row r="152" spans="9:10">
      <c r="I152" s="19"/>
      <c r="J152" s="37"/>
    </row>
    <row r="153" spans="9:10">
      <c r="I153" s="19"/>
      <c r="J153" s="37"/>
    </row>
    <row r="154" spans="9:10">
      <c r="I154" s="19"/>
      <c r="J154" s="37"/>
    </row>
    <row r="155" spans="9:10">
      <c r="I155" s="19"/>
      <c r="J155" s="37"/>
    </row>
    <row r="156" spans="9:10">
      <c r="I156" s="19"/>
      <c r="J156" s="37"/>
    </row>
    <row r="157" spans="9:10">
      <c r="I157" s="19"/>
      <c r="J157" s="37"/>
    </row>
    <row r="158" spans="9:10">
      <c r="I158" s="19"/>
      <c r="J158" s="37"/>
    </row>
    <row r="159" spans="9:10">
      <c r="I159" s="19"/>
      <c r="J159" s="37"/>
    </row>
    <row r="160" spans="9:10">
      <c r="I160" s="19"/>
      <c r="J160" s="37"/>
    </row>
    <row r="161" spans="9:10">
      <c r="I161" s="19"/>
      <c r="J161" s="37"/>
    </row>
    <row r="162" spans="9:10">
      <c r="I162" s="19"/>
      <c r="J162" s="37"/>
    </row>
    <row r="163" spans="9:10">
      <c r="I163" s="19"/>
      <c r="J163" s="37"/>
    </row>
    <row r="164" spans="9:10">
      <c r="I164" s="19"/>
      <c r="J164" s="37"/>
    </row>
    <row r="165" spans="9:10">
      <c r="I165" s="19"/>
      <c r="J165" s="37"/>
    </row>
    <row r="166" spans="9:10">
      <c r="I166" s="19"/>
      <c r="J166" s="37"/>
    </row>
    <row r="167" spans="9:10">
      <c r="I167" s="19"/>
      <c r="J167" s="37"/>
    </row>
    <row r="168" spans="9:10">
      <c r="I168" s="19"/>
      <c r="J168" s="37"/>
    </row>
    <row r="169" spans="9:10">
      <c r="I169" s="19"/>
      <c r="J169" s="37"/>
    </row>
    <row r="170" spans="9:10">
      <c r="I170" s="19"/>
      <c r="J170" s="37"/>
    </row>
    <row r="171" spans="9:10">
      <c r="I171" s="19"/>
      <c r="J171" s="37"/>
    </row>
    <row r="172" spans="9:10">
      <c r="I172" s="19"/>
      <c r="J172" s="37"/>
    </row>
    <row r="173" spans="9:10">
      <c r="I173" s="19"/>
      <c r="J173" s="37"/>
    </row>
    <row r="174" spans="9:10">
      <c r="I174" s="19"/>
      <c r="J174" s="37"/>
    </row>
  </sheetData>
  <mergeCells count="1">
    <mergeCell ref="L3:S11"/>
  </mergeCells>
  <conditionalFormatting sqref="I24:N65536 I3:I5 I17:I22 N12:N22 L3 I7:I15 K18:L22 M20:M22 K5 K8:K15 L12:M15">
    <cfRule type="cellIs" dxfId="21" priority="1" stopIfTrue="1" operator="equal">
      <formula>0</formula>
    </cfRule>
  </conditionalFormatting>
  <printOptions horizontalCentered="1" gridLines="1"/>
  <pageMargins left="0.75" right="0.75" top="0.63" bottom="0.63" header="0.32" footer="0.45"/>
  <pageSetup scale="61" fitToHeight="2" orientation="portrait" r:id="rId1"/>
  <headerFooter alignWithMargins="0">
    <oddHeader>&amp;L&amp;"Arial,Bold Italic"&amp;11&amp;A&amp;C&amp;"Arial,Bold Italic"&amp;11Ten Mile River Hydro
Phase I Feasibility Study&amp;R&amp;"Arial,Bold Italic"&amp;11For Planning Purposes Only</oddHeader>
    <oddFooter>&amp;L&amp;F&amp;R&amp;G</oddFooter>
  </headerFooter>
  <rowBreaks count="1" manualBreakCount="1">
    <brk id="92" max="7" man="1"/>
  </rowBreaks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5"/>
  </sheetPr>
  <dimension ref="A1:S174"/>
  <sheetViews>
    <sheetView view="pageBreakPreview" topLeftCell="A36" zoomScale="75" zoomScaleNormal="80" zoomScaleSheetLayoutView="75" workbookViewId="0">
      <selection activeCell="H11" sqref="H11"/>
    </sheetView>
  </sheetViews>
  <sheetFormatPr defaultRowHeight="12.75"/>
  <cols>
    <col min="1" max="1" width="4.85546875" style="11" customWidth="1"/>
    <col min="2" max="2" width="32.5703125" style="11" customWidth="1"/>
    <col min="3" max="3" width="9.140625" style="11"/>
    <col min="4" max="4" width="12.42578125" style="69" customWidth="1"/>
    <col min="5" max="5" width="9.42578125" style="69" customWidth="1"/>
    <col min="6" max="6" width="12.85546875" style="69" customWidth="1"/>
    <col min="7" max="7" width="3.140625" style="11" customWidth="1"/>
    <col min="8" max="8" width="60.7109375" style="11" customWidth="1"/>
    <col min="9" max="9" width="4.85546875" style="11" customWidth="1"/>
    <col min="10" max="10" width="12.28515625" style="51" customWidth="1"/>
    <col min="11" max="11" width="12.42578125" style="10" customWidth="1"/>
    <col min="12" max="12" width="12.5703125" style="10" customWidth="1"/>
    <col min="13" max="14" width="9.140625" style="10"/>
    <col min="15" max="16384" width="9.140625" style="11"/>
  </cols>
  <sheetData>
    <row r="1" spans="1:19" ht="25.5">
      <c r="A1" s="7" t="s">
        <v>0</v>
      </c>
      <c r="B1" s="7" t="s">
        <v>1</v>
      </c>
      <c r="C1" s="7" t="s">
        <v>2</v>
      </c>
      <c r="D1" s="12" t="s">
        <v>3</v>
      </c>
      <c r="E1" s="60" t="s">
        <v>4</v>
      </c>
      <c r="F1" s="60" t="s">
        <v>5</v>
      </c>
      <c r="G1" s="8"/>
      <c r="H1" s="7" t="s">
        <v>6</v>
      </c>
      <c r="I1" s="7"/>
      <c r="J1" s="9"/>
      <c r="L1" s="170"/>
    </row>
    <row r="2" spans="1:19" ht="16.5" customHeight="1">
      <c r="A2" s="12">
        <v>1</v>
      </c>
      <c r="B2" s="7" t="s">
        <v>7</v>
      </c>
      <c r="C2" s="7"/>
      <c r="D2" s="61"/>
      <c r="E2" s="62"/>
      <c r="F2" s="62"/>
      <c r="G2" s="14"/>
      <c r="H2" s="13"/>
      <c r="I2" s="15"/>
      <c r="J2" s="16"/>
      <c r="L2" s="141"/>
      <c r="M2" s="17"/>
      <c r="N2" s="17"/>
      <c r="O2" s="18"/>
      <c r="P2" s="18"/>
    </row>
    <row r="3" spans="1:19" ht="16.5" customHeight="1">
      <c r="A3" s="19" t="s">
        <v>8</v>
      </c>
      <c r="B3" s="20" t="s">
        <v>9</v>
      </c>
      <c r="C3" s="20"/>
      <c r="D3" s="61">
        <v>1</v>
      </c>
      <c r="E3" s="62">
        <v>25000</v>
      </c>
      <c r="F3" s="62">
        <f>0.001*D3*E3</f>
        <v>25</v>
      </c>
      <c r="G3" s="14"/>
      <c r="H3" s="13" t="s">
        <v>10</v>
      </c>
      <c r="I3" s="21"/>
      <c r="J3" s="22"/>
      <c r="L3" s="374"/>
      <c r="M3" s="374"/>
      <c r="N3" s="374"/>
      <c r="O3" s="374"/>
      <c r="P3" s="374"/>
      <c r="Q3" s="374"/>
      <c r="R3" s="374"/>
      <c r="S3" s="374"/>
    </row>
    <row r="4" spans="1:19" ht="16.5" customHeight="1">
      <c r="A4" s="19" t="s">
        <v>11</v>
      </c>
      <c r="B4" s="20" t="s">
        <v>12</v>
      </c>
      <c r="C4" s="20"/>
      <c r="D4" s="61">
        <v>1</v>
      </c>
      <c r="E4" s="62">
        <v>10000</v>
      </c>
      <c r="F4" s="62">
        <f>0.001*D4*E4</f>
        <v>10</v>
      </c>
      <c r="G4" s="14"/>
      <c r="H4" s="13" t="s">
        <v>10</v>
      </c>
      <c r="I4" s="21"/>
      <c r="J4" s="22"/>
      <c r="K4" s="140"/>
      <c r="L4" s="374"/>
      <c r="M4" s="374"/>
      <c r="N4" s="374"/>
      <c r="O4" s="374"/>
      <c r="P4" s="374"/>
      <c r="Q4" s="374"/>
      <c r="R4" s="374"/>
      <c r="S4" s="374"/>
    </row>
    <row r="5" spans="1:19" ht="16.5" customHeight="1">
      <c r="A5" s="19" t="s">
        <v>13</v>
      </c>
      <c r="B5" s="23" t="s">
        <v>14</v>
      </c>
      <c r="C5" s="23" t="s">
        <v>15</v>
      </c>
      <c r="D5" s="61">
        <v>4</v>
      </c>
      <c r="E5" s="62">
        <v>8000</v>
      </c>
      <c r="F5" s="62">
        <f>0.001*D5*E5</f>
        <v>32</v>
      </c>
      <c r="G5" s="14"/>
      <c r="H5" s="142" t="s">
        <v>285</v>
      </c>
      <c r="I5" s="21"/>
      <c r="J5" s="22"/>
      <c r="K5" s="17"/>
      <c r="L5" s="374"/>
      <c r="M5" s="374"/>
      <c r="N5" s="374"/>
      <c r="O5" s="374"/>
      <c r="P5" s="374"/>
      <c r="Q5" s="374"/>
      <c r="R5" s="374"/>
      <c r="S5" s="374"/>
    </row>
    <row r="6" spans="1:19" ht="16.5" customHeight="1">
      <c r="A6" s="19" t="s">
        <v>16</v>
      </c>
      <c r="B6" s="23" t="s">
        <v>17</v>
      </c>
      <c r="C6" s="23" t="s">
        <v>18</v>
      </c>
      <c r="D6" s="61">
        <v>2000</v>
      </c>
      <c r="E6" s="62">
        <v>10</v>
      </c>
      <c r="F6" s="62">
        <f>0.001*D6*E6</f>
        <v>20</v>
      </c>
      <c r="G6" s="14"/>
      <c r="H6" s="142" t="s">
        <v>285</v>
      </c>
      <c r="I6" s="18"/>
      <c r="J6" s="24"/>
      <c r="K6" s="25"/>
      <c r="L6" s="374"/>
      <c r="M6" s="374"/>
      <c r="N6" s="374"/>
      <c r="O6" s="374"/>
      <c r="P6" s="374"/>
      <c r="Q6" s="374"/>
      <c r="R6" s="374"/>
      <c r="S6" s="374"/>
    </row>
    <row r="7" spans="1:19" ht="16.5" customHeight="1">
      <c r="A7" s="26" t="s">
        <v>19</v>
      </c>
      <c r="B7" s="27" t="s">
        <v>151</v>
      </c>
      <c r="C7" s="27"/>
      <c r="D7" s="184">
        <v>1</v>
      </c>
      <c r="E7" s="64">
        <f>('Phase I Dam Repairs'!D4+'Phase I Dam Repairs'!D3)*1000</f>
        <v>90000</v>
      </c>
      <c r="F7" s="64">
        <f>0.001*D7*E7</f>
        <v>90</v>
      </c>
      <c r="G7" s="29"/>
      <c r="H7" s="238" t="s">
        <v>265</v>
      </c>
      <c r="I7" s="21"/>
      <c r="J7" s="22"/>
      <c r="K7" s="30"/>
      <c r="L7" s="374"/>
      <c r="M7" s="374"/>
      <c r="N7" s="374"/>
      <c r="O7" s="374"/>
      <c r="P7" s="374"/>
      <c r="Q7" s="374"/>
      <c r="R7" s="374"/>
      <c r="S7" s="374"/>
    </row>
    <row r="8" spans="1:19" ht="16.5" customHeight="1">
      <c r="A8" s="19" t="s">
        <v>21</v>
      </c>
      <c r="B8" s="19" t="s">
        <v>22</v>
      </c>
      <c r="C8" s="19"/>
      <c r="D8" s="61"/>
      <c r="E8" s="62"/>
      <c r="F8" s="62">
        <f>SUM(F2:F7)</f>
        <v>177</v>
      </c>
      <c r="G8" s="14"/>
      <c r="H8" s="13"/>
      <c r="I8" s="21"/>
      <c r="J8" s="22"/>
      <c r="K8" s="31"/>
      <c r="L8" s="374"/>
      <c r="M8" s="374"/>
      <c r="N8" s="374"/>
      <c r="O8" s="374"/>
      <c r="P8" s="374"/>
      <c r="Q8" s="374"/>
      <c r="R8" s="374"/>
      <c r="S8" s="374"/>
    </row>
    <row r="9" spans="1:19" ht="16.5" customHeight="1">
      <c r="A9" s="19"/>
      <c r="B9" s="13"/>
      <c r="C9" s="13"/>
      <c r="D9" s="61"/>
      <c r="E9" s="62"/>
      <c r="F9" s="62"/>
      <c r="G9" s="14"/>
      <c r="H9" s="13"/>
      <c r="I9" s="21"/>
      <c r="J9" s="22"/>
      <c r="K9" s="31"/>
      <c r="L9" s="374"/>
      <c r="M9" s="374"/>
      <c r="N9" s="374"/>
      <c r="O9" s="374"/>
      <c r="P9" s="374"/>
      <c r="Q9" s="374"/>
      <c r="R9" s="374"/>
      <c r="S9" s="374"/>
    </row>
    <row r="10" spans="1:19" ht="16.5" customHeight="1">
      <c r="A10" s="12">
        <v>2</v>
      </c>
      <c r="B10" s="7" t="s">
        <v>130</v>
      </c>
      <c r="C10" s="7"/>
      <c r="D10" s="65"/>
      <c r="E10" s="62"/>
      <c r="F10" s="62"/>
      <c r="G10" s="14"/>
      <c r="H10" s="13"/>
      <c r="I10" s="21"/>
      <c r="J10" s="22"/>
      <c r="K10" s="31"/>
      <c r="L10" s="374"/>
      <c r="M10" s="374"/>
      <c r="N10" s="374"/>
      <c r="O10" s="374"/>
      <c r="P10" s="374"/>
      <c r="Q10" s="374"/>
      <c r="R10" s="374"/>
      <c r="S10" s="374"/>
    </row>
    <row r="11" spans="1:19" ht="16.5" customHeight="1">
      <c r="A11" s="19" t="s">
        <v>8</v>
      </c>
      <c r="B11" s="20" t="s">
        <v>114</v>
      </c>
      <c r="C11" s="32"/>
      <c r="D11" s="66"/>
      <c r="E11" s="62"/>
      <c r="F11" s="62">
        <v>100</v>
      </c>
      <c r="G11" s="14"/>
      <c r="H11" s="13" t="s">
        <v>10</v>
      </c>
      <c r="I11" s="21"/>
      <c r="J11" s="22"/>
      <c r="K11" s="31"/>
      <c r="L11" s="374"/>
      <c r="M11" s="374"/>
      <c r="N11" s="374"/>
      <c r="O11" s="374"/>
      <c r="P11" s="374"/>
      <c r="Q11" s="374"/>
      <c r="R11" s="374"/>
      <c r="S11" s="374"/>
    </row>
    <row r="12" spans="1:19" ht="16.5" customHeight="1">
      <c r="A12" s="19" t="s">
        <v>11</v>
      </c>
      <c r="B12" s="194" t="s">
        <v>376</v>
      </c>
      <c r="C12" s="32"/>
      <c r="D12" s="66"/>
      <c r="E12" s="62"/>
      <c r="F12" s="62">
        <v>10</v>
      </c>
      <c r="G12" s="14"/>
      <c r="H12" s="13" t="s">
        <v>10</v>
      </c>
      <c r="I12" s="21"/>
      <c r="J12" s="22"/>
      <c r="K12" s="31"/>
      <c r="L12" s="31"/>
      <c r="M12" s="31"/>
      <c r="N12" s="17"/>
      <c r="O12" s="18"/>
      <c r="P12" s="18"/>
    </row>
    <row r="13" spans="1:19" ht="16.5" customHeight="1">
      <c r="A13" s="19" t="s">
        <v>13</v>
      </c>
      <c r="B13" s="194" t="s">
        <v>318</v>
      </c>
      <c r="C13" s="20"/>
      <c r="D13" s="66">
        <v>1</v>
      </c>
      <c r="E13" s="62">
        <f>'Pwrhse Cost Estimator'!D30</f>
        <v>677586.02465811581</v>
      </c>
      <c r="F13" s="62">
        <f t="shared" ref="F13:F29" si="0">0.001*D13*E13</f>
        <v>677.58602465811578</v>
      </c>
      <c r="G13" s="14"/>
      <c r="H13" s="142" t="s">
        <v>377</v>
      </c>
      <c r="I13" s="21"/>
      <c r="J13" s="22"/>
      <c r="K13" s="31"/>
      <c r="L13" s="31"/>
      <c r="M13" s="31"/>
      <c r="N13" s="17"/>
      <c r="O13" s="18"/>
      <c r="P13" s="18"/>
    </row>
    <row r="14" spans="1:19" ht="16.5" hidden="1" customHeight="1">
      <c r="A14" s="19" t="s">
        <v>25</v>
      </c>
      <c r="B14" s="34" t="s">
        <v>26</v>
      </c>
      <c r="C14" s="23" t="s">
        <v>27</v>
      </c>
      <c r="D14" s="173">
        <v>0</v>
      </c>
      <c r="E14" s="171">
        <v>25</v>
      </c>
      <c r="F14" s="62">
        <f t="shared" si="0"/>
        <v>0</v>
      </c>
      <c r="G14" s="14"/>
      <c r="H14" s="143" t="s">
        <v>253</v>
      </c>
      <c r="I14" s="21"/>
      <c r="J14" s="22"/>
      <c r="K14" s="17"/>
      <c r="L14" s="17"/>
      <c r="M14" s="17"/>
      <c r="N14" s="17"/>
      <c r="O14" s="18"/>
      <c r="P14" s="18"/>
    </row>
    <row r="15" spans="1:19" ht="27.75" hidden="1" customHeight="1">
      <c r="A15" s="19" t="s">
        <v>28</v>
      </c>
      <c r="B15" s="35" t="s">
        <v>29</v>
      </c>
      <c r="C15" s="23" t="s">
        <v>27</v>
      </c>
      <c r="D15" s="174">
        <v>0</v>
      </c>
      <c r="E15" s="62">
        <v>100</v>
      </c>
      <c r="F15" s="62">
        <f t="shared" si="0"/>
        <v>0</v>
      </c>
      <c r="G15" s="14"/>
      <c r="H15" s="143" t="s">
        <v>253</v>
      </c>
      <c r="I15" s="21"/>
      <c r="J15" s="22"/>
      <c r="K15" s="17"/>
      <c r="L15" s="17"/>
      <c r="M15" s="17"/>
      <c r="N15" s="17"/>
      <c r="O15" s="18"/>
      <c r="P15" s="18"/>
    </row>
    <row r="16" spans="1:19" ht="16.5" hidden="1" customHeight="1">
      <c r="A16" s="19" t="s">
        <v>30</v>
      </c>
      <c r="B16" s="35" t="s">
        <v>31</v>
      </c>
      <c r="C16" s="23" t="s">
        <v>27</v>
      </c>
      <c r="D16" s="174">
        <v>0</v>
      </c>
      <c r="E16" s="62">
        <v>100</v>
      </c>
      <c r="F16" s="62">
        <f t="shared" si="0"/>
        <v>0</v>
      </c>
      <c r="G16" s="14"/>
      <c r="H16" s="143" t="s">
        <v>253</v>
      </c>
      <c r="I16" s="18"/>
      <c r="J16" s="24"/>
      <c r="K16" s="25"/>
      <c r="L16" s="25"/>
      <c r="M16" s="25"/>
      <c r="N16" s="17"/>
      <c r="O16" s="18"/>
      <c r="P16" s="18"/>
    </row>
    <row r="17" spans="1:16" ht="16.5" hidden="1" customHeight="1">
      <c r="A17" s="21" t="s">
        <v>16</v>
      </c>
      <c r="B17" s="23" t="s">
        <v>32</v>
      </c>
      <c r="C17" s="23"/>
      <c r="D17" s="67">
        <v>0</v>
      </c>
      <c r="E17" s="62">
        <v>10000</v>
      </c>
      <c r="F17" s="62">
        <f t="shared" si="0"/>
        <v>0</v>
      </c>
      <c r="G17" s="14"/>
      <c r="H17" s="13" t="s">
        <v>10</v>
      </c>
      <c r="I17" s="21"/>
      <c r="J17" s="22"/>
      <c r="K17" s="30"/>
      <c r="L17" s="30"/>
      <c r="M17" s="30"/>
      <c r="N17" s="17"/>
      <c r="O17" s="18"/>
      <c r="P17" s="18"/>
    </row>
    <row r="18" spans="1:16" ht="16.5" hidden="1" customHeight="1">
      <c r="A18" s="19" t="s">
        <v>19</v>
      </c>
      <c r="B18" s="23" t="s">
        <v>33</v>
      </c>
      <c r="C18" s="23" t="s">
        <v>34</v>
      </c>
      <c r="D18" s="67">
        <v>0</v>
      </c>
      <c r="E18" s="62">
        <v>1000</v>
      </c>
      <c r="F18" s="62">
        <f t="shared" si="0"/>
        <v>0</v>
      </c>
      <c r="G18" s="14"/>
      <c r="H18" s="36" t="s">
        <v>156</v>
      </c>
      <c r="I18" s="21"/>
      <c r="J18" s="22"/>
      <c r="K18" s="31"/>
      <c r="L18" s="31"/>
      <c r="M18" s="30"/>
      <c r="N18" s="17"/>
      <c r="O18" s="18"/>
      <c r="P18" s="18"/>
    </row>
    <row r="19" spans="1:16" ht="16.5" hidden="1" customHeight="1">
      <c r="A19" s="19" t="s">
        <v>21</v>
      </c>
      <c r="B19" s="23" t="s">
        <v>57</v>
      </c>
      <c r="C19" s="23" t="s">
        <v>27</v>
      </c>
      <c r="D19" s="175">
        <v>0</v>
      </c>
      <c r="E19" s="62">
        <v>750</v>
      </c>
      <c r="F19" s="62">
        <f t="shared" si="0"/>
        <v>0</v>
      </c>
      <c r="G19" s="14"/>
      <c r="H19" s="13" t="s">
        <v>10</v>
      </c>
      <c r="I19" s="21"/>
      <c r="J19" s="22"/>
      <c r="K19" s="31"/>
      <c r="L19" s="31"/>
      <c r="M19" s="30"/>
      <c r="N19" s="17"/>
      <c r="O19" s="18"/>
      <c r="P19" s="18"/>
    </row>
    <row r="20" spans="1:16" ht="16.5" hidden="1" customHeight="1">
      <c r="A20" s="19" t="s">
        <v>35</v>
      </c>
      <c r="B20" s="23" t="s">
        <v>124</v>
      </c>
      <c r="C20" s="23" t="s">
        <v>23</v>
      </c>
      <c r="D20" s="174">
        <v>0</v>
      </c>
      <c r="E20" s="62">
        <v>100</v>
      </c>
      <c r="F20" s="62">
        <f t="shared" si="0"/>
        <v>0</v>
      </c>
      <c r="G20" s="14"/>
      <c r="H20" s="143" t="s">
        <v>253</v>
      </c>
      <c r="I20" s="21"/>
      <c r="J20" s="22"/>
      <c r="K20" s="31"/>
      <c r="L20" s="31"/>
      <c r="M20" s="31"/>
      <c r="N20" s="17"/>
      <c r="O20" s="18"/>
      <c r="P20" s="18"/>
    </row>
    <row r="21" spans="1:16" ht="16.5" hidden="1" customHeight="1">
      <c r="A21" s="19" t="s">
        <v>36</v>
      </c>
      <c r="B21" s="20" t="s">
        <v>37</v>
      </c>
      <c r="C21" s="23" t="s">
        <v>23</v>
      </c>
      <c r="D21" s="173">
        <v>0</v>
      </c>
      <c r="E21" s="62">
        <v>400</v>
      </c>
      <c r="F21" s="62">
        <f t="shared" si="0"/>
        <v>0</v>
      </c>
      <c r="G21" s="14"/>
      <c r="H21" s="143" t="s">
        <v>252</v>
      </c>
      <c r="I21" s="21"/>
      <c r="J21" s="22"/>
      <c r="K21" s="31"/>
      <c r="L21" s="31"/>
      <c r="M21" s="31"/>
      <c r="N21" s="17"/>
      <c r="O21" s="18"/>
      <c r="P21" s="18"/>
    </row>
    <row r="22" spans="1:16" ht="16.5" hidden="1" customHeight="1">
      <c r="A22" s="19" t="s">
        <v>25</v>
      </c>
      <c r="B22" s="20" t="s">
        <v>38</v>
      </c>
      <c r="C22" s="32"/>
      <c r="D22" s="66">
        <v>0</v>
      </c>
      <c r="E22" s="62">
        <v>150000</v>
      </c>
      <c r="F22" s="62">
        <f t="shared" si="0"/>
        <v>0</v>
      </c>
      <c r="G22" s="14"/>
      <c r="H22" s="36" t="s">
        <v>159</v>
      </c>
      <c r="I22" s="21"/>
      <c r="J22" s="22"/>
      <c r="K22" s="31"/>
      <c r="L22" s="31"/>
      <c r="M22" s="31"/>
      <c r="N22" s="17"/>
      <c r="O22" s="18"/>
      <c r="P22" s="18"/>
    </row>
    <row r="23" spans="1:16" ht="16.5" hidden="1" customHeight="1">
      <c r="A23" s="19" t="s">
        <v>39</v>
      </c>
      <c r="B23" s="23" t="s">
        <v>160</v>
      </c>
      <c r="C23" s="20"/>
      <c r="D23" s="61">
        <v>0</v>
      </c>
      <c r="E23" s="62">
        <v>15000</v>
      </c>
      <c r="F23" s="62">
        <f t="shared" si="0"/>
        <v>0</v>
      </c>
      <c r="G23" s="14"/>
      <c r="H23" s="36" t="s">
        <v>10</v>
      </c>
      <c r="J23" s="11"/>
      <c r="K23" s="11"/>
      <c r="L23" s="11"/>
      <c r="M23" s="11"/>
      <c r="N23" s="11"/>
    </row>
    <row r="24" spans="1:16" ht="33" customHeight="1">
      <c r="A24" s="19" t="s">
        <v>40</v>
      </c>
      <c r="B24" s="194" t="s">
        <v>292</v>
      </c>
      <c r="C24" s="194" t="s">
        <v>18</v>
      </c>
      <c r="D24" s="61">
        <v>2000</v>
      </c>
      <c r="E24" s="62">
        <f>'Penstock Costs'!G21</f>
        <v>614.02450739999995</v>
      </c>
      <c r="F24" s="62">
        <f t="shared" si="0"/>
        <v>1228.0490147999999</v>
      </c>
      <c r="G24" s="14"/>
      <c r="H24" s="142" t="s">
        <v>364</v>
      </c>
      <c r="I24" s="19"/>
      <c r="J24" s="37"/>
    </row>
    <row r="25" spans="1:16" ht="16.5" customHeight="1">
      <c r="A25" s="19" t="s">
        <v>41</v>
      </c>
      <c r="B25" s="20" t="s">
        <v>42</v>
      </c>
      <c r="C25" s="20"/>
      <c r="D25" s="61">
        <v>1</v>
      </c>
      <c r="E25" s="62">
        <v>5000</v>
      </c>
      <c r="F25" s="62">
        <f t="shared" si="0"/>
        <v>5</v>
      </c>
      <c r="G25" s="14"/>
      <c r="H25" s="13" t="s">
        <v>10</v>
      </c>
      <c r="I25" s="19"/>
      <c r="J25" s="37"/>
    </row>
    <row r="26" spans="1:16" ht="16.5" customHeight="1">
      <c r="A26" s="19" t="s">
        <v>43</v>
      </c>
      <c r="B26" s="20" t="s">
        <v>44</v>
      </c>
      <c r="C26" s="20"/>
      <c r="D26" s="61">
        <v>1</v>
      </c>
      <c r="E26" s="239">
        <v>10000</v>
      </c>
      <c r="F26" s="239">
        <f t="shared" si="0"/>
        <v>10</v>
      </c>
      <c r="G26" s="240"/>
      <c r="H26" s="142" t="s">
        <v>10</v>
      </c>
      <c r="I26" s="19"/>
      <c r="J26" s="37"/>
    </row>
    <row r="27" spans="1:16" ht="25.5" customHeight="1">
      <c r="A27" s="19" t="s">
        <v>45</v>
      </c>
      <c r="B27" s="20" t="s">
        <v>46</v>
      </c>
      <c r="C27" s="20"/>
      <c r="D27" s="61">
        <v>1</v>
      </c>
      <c r="E27" s="239">
        <v>10000</v>
      </c>
      <c r="F27" s="239">
        <f t="shared" si="0"/>
        <v>10</v>
      </c>
      <c r="G27" s="240"/>
      <c r="H27" s="142" t="s">
        <v>10</v>
      </c>
      <c r="I27" s="19"/>
      <c r="J27" s="37"/>
    </row>
    <row r="28" spans="1:16">
      <c r="A28" s="19" t="s">
        <v>47</v>
      </c>
      <c r="B28" s="20" t="s">
        <v>48</v>
      </c>
      <c r="C28" s="20"/>
      <c r="D28" s="61">
        <v>1</v>
      </c>
      <c r="E28" s="62">
        <v>5000</v>
      </c>
      <c r="F28" s="62">
        <f t="shared" si="0"/>
        <v>5</v>
      </c>
      <c r="G28" s="14"/>
      <c r="H28" s="13" t="s">
        <v>10</v>
      </c>
      <c r="I28" s="19"/>
      <c r="J28" s="37"/>
    </row>
    <row r="29" spans="1:16" ht="16.5" customHeight="1">
      <c r="A29" s="26" t="s">
        <v>49</v>
      </c>
      <c r="B29" s="192" t="s">
        <v>20</v>
      </c>
      <c r="C29" s="27"/>
      <c r="D29" s="68"/>
      <c r="E29" s="64"/>
      <c r="F29" s="64">
        <f t="shared" si="0"/>
        <v>0</v>
      </c>
      <c r="G29" s="29"/>
      <c r="H29" s="238"/>
      <c r="I29" s="19"/>
      <c r="J29" s="37"/>
    </row>
    <row r="30" spans="1:16">
      <c r="A30" s="19" t="s">
        <v>50</v>
      </c>
      <c r="B30" s="264" t="s">
        <v>385</v>
      </c>
      <c r="C30" s="19"/>
      <c r="D30" s="61"/>
      <c r="E30" s="62"/>
      <c r="F30" s="62">
        <f>SUM(F11:F29)</f>
        <v>2045.6350394581157</v>
      </c>
      <c r="G30" s="14"/>
      <c r="H30" s="13"/>
      <c r="I30" s="19"/>
      <c r="J30" s="37"/>
    </row>
    <row r="31" spans="1:16" ht="16.5" customHeight="1">
      <c r="A31" s="19"/>
      <c r="B31" s="13"/>
      <c r="C31" s="13"/>
      <c r="D31" s="61"/>
      <c r="E31" s="62"/>
      <c r="F31" s="62"/>
      <c r="G31" s="14"/>
      <c r="H31" s="13"/>
      <c r="I31" s="19"/>
      <c r="J31" s="37"/>
    </row>
    <row r="32" spans="1:16" ht="16.5" customHeight="1">
      <c r="A32" s="12">
        <v>3</v>
      </c>
      <c r="B32" s="7" t="s">
        <v>52</v>
      </c>
      <c r="C32" s="7"/>
      <c r="D32" s="61"/>
      <c r="E32" s="62"/>
      <c r="F32" s="62"/>
      <c r="G32" s="14"/>
      <c r="H32" s="13"/>
      <c r="I32" s="19"/>
      <c r="J32" s="37"/>
    </row>
    <row r="33" spans="1:10">
      <c r="A33" s="19" t="s">
        <v>8</v>
      </c>
      <c r="B33" s="194" t="s">
        <v>319</v>
      </c>
      <c r="C33" s="20"/>
      <c r="D33" s="61">
        <v>1</v>
      </c>
      <c r="E33" s="62">
        <f>'TG Costs'!D29</f>
        <v>701857.76</v>
      </c>
      <c r="F33" s="62">
        <f t="shared" ref="F33:F38" si="1">0.001*D33*E33</f>
        <v>701.85775999999998</v>
      </c>
      <c r="G33" s="14"/>
      <c r="H33" s="142" t="s">
        <v>387</v>
      </c>
      <c r="I33" s="19"/>
      <c r="J33" s="37">
        <f>3/1.8*1.5</f>
        <v>2.5</v>
      </c>
    </row>
    <row r="34" spans="1:10" ht="20.25" customHeight="1">
      <c r="A34" s="19" t="s">
        <v>11</v>
      </c>
      <c r="B34" s="23" t="s">
        <v>161</v>
      </c>
      <c r="C34" s="20"/>
      <c r="D34" s="61">
        <v>1</v>
      </c>
      <c r="E34" s="62">
        <f>SUM(F33,F35:F38)*1000*0.2</f>
        <v>163371.55200000003</v>
      </c>
      <c r="F34" s="62">
        <f t="shared" si="1"/>
        <v>163.37155200000004</v>
      </c>
      <c r="G34" s="14"/>
      <c r="H34" s="36" t="s">
        <v>162</v>
      </c>
      <c r="I34" s="19"/>
      <c r="J34" s="37"/>
    </row>
    <row r="35" spans="1:10" ht="16.5" customHeight="1">
      <c r="A35" s="19" t="s">
        <v>13</v>
      </c>
      <c r="B35" s="20" t="s">
        <v>53</v>
      </c>
      <c r="C35" s="20"/>
      <c r="D35" s="191">
        <v>1</v>
      </c>
      <c r="E35" s="239">
        <f>'Interconnect Costs'!K10</f>
        <v>20000</v>
      </c>
      <c r="F35" s="239">
        <f t="shared" si="1"/>
        <v>20</v>
      </c>
      <c r="G35" s="240"/>
      <c r="H35" s="241" t="s">
        <v>274</v>
      </c>
      <c r="I35" s="19"/>
      <c r="J35" s="37"/>
    </row>
    <row r="36" spans="1:10" ht="16.5" customHeight="1">
      <c r="A36" s="19" t="s">
        <v>16</v>
      </c>
      <c r="B36" s="194" t="s">
        <v>320</v>
      </c>
      <c r="C36" s="20"/>
      <c r="D36" s="191">
        <v>1</v>
      </c>
      <c r="E36" s="239">
        <v>50000</v>
      </c>
      <c r="F36" s="239">
        <f t="shared" si="1"/>
        <v>50</v>
      </c>
      <c r="G36" s="240"/>
      <c r="H36" s="142" t="s">
        <v>384</v>
      </c>
      <c r="I36" s="19"/>
      <c r="J36" s="37"/>
    </row>
    <row r="37" spans="1:10">
      <c r="A37" s="19" t="s">
        <v>19</v>
      </c>
      <c r="B37" s="20" t="s">
        <v>55</v>
      </c>
      <c r="C37" s="20"/>
      <c r="D37" s="191">
        <v>1</v>
      </c>
      <c r="E37" s="239">
        <v>20000</v>
      </c>
      <c r="F37" s="239">
        <f t="shared" si="1"/>
        <v>20</v>
      </c>
      <c r="G37" s="240"/>
      <c r="H37" s="142" t="s">
        <v>10</v>
      </c>
      <c r="I37" s="19"/>
      <c r="J37" s="37"/>
    </row>
    <row r="38" spans="1:10" ht="16.5" customHeight="1">
      <c r="A38" s="26" t="s">
        <v>21</v>
      </c>
      <c r="B38" s="192" t="s">
        <v>321</v>
      </c>
      <c r="C38" s="27"/>
      <c r="D38" s="184">
        <v>1</v>
      </c>
      <c r="E38" s="64">
        <v>25000</v>
      </c>
      <c r="F38" s="64">
        <f t="shared" si="1"/>
        <v>25</v>
      </c>
      <c r="G38" s="29"/>
      <c r="H38" s="238" t="s">
        <v>10</v>
      </c>
      <c r="I38" s="19"/>
      <c r="J38" s="37"/>
    </row>
    <row r="39" spans="1:10" ht="16.5" customHeight="1">
      <c r="A39" s="19" t="s">
        <v>35</v>
      </c>
      <c r="B39" s="19" t="s">
        <v>56</v>
      </c>
      <c r="C39" s="19"/>
      <c r="D39" s="61"/>
      <c r="E39" s="62"/>
      <c r="F39" s="62">
        <f>SUM(F33:F38)</f>
        <v>980.22931200000005</v>
      </c>
      <c r="G39" s="14"/>
      <c r="H39" s="13"/>
      <c r="I39" s="19"/>
      <c r="J39" s="37"/>
    </row>
    <row r="40" spans="1:10" ht="16.5" hidden="1" customHeight="1">
      <c r="A40" s="19"/>
      <c r="B40" s="13"/>
      <c r="C40" s="13"/>
      <c r="D40" s="61"/>
      <c r="E40" s="62"/>
      <c r="F40" s="62"/>
      <c r="G40" s="14"/>
      <c r="H40" s="13"/>
      <c r="I40" s="19"/>
      <c r="J40" s="37"/>
    </row>
    <row r="41" spans="1:10" ht="16.5" hidden="1" customHeight="1">
      <c r="A41" s="12">
        <v>4</v>
      </c>
      <c r="B41" s="7" t="s">
        <v>132</v>
      </c>
      <c r="C41" s="7"/>
      <c r="D41" s="61"/>
      <c r="E41" s="62"/>
      <c r="F41" s="62"/>
      <c r="G41" s="14"/>
      <c r="H41" s="13"/>
      <c r="I41" s="19"/>
      <c r="J41" s="37"/>
    </row>
    <row r="42" spans="1:10" ht="16.5" hidden="1" customHeight="1">
      <c r="A42" s="19" t="s">
        <v>8</v>
      </c>
      <c r="B42" s="20" t="s">
        <v>133</v>
      </c>
      <c r="C42" s="23" t="s">
        <v>23</v>
      </c>
      <c r="D42" s="61"/>
      <c r="E42" s="62">
        <v>40</v>
      </c>
      <c r="F42" s="62">
        <f>0.001*D42*E42</f>
        <v>0</v>
      </c>
      <c r="G42" s="14"/>
      <c r="H42" s="13" t="s">
        <v>10</v>
      </c>
      <c r="I42" s="19"/>
      <c r="J42" s="37"/>
    </row>
    <row r="43" spans="1:10" ht="16.5" hidden="1" customHeight="1">
      <c r="A43" s="19" t="s">
        <v>11</v>
      </c>
      <c r="B43" s="20" t="s">
        <v>24</v>
      </c>
      <c r="C43" s="23" t="s">
        <v>27</v>
      </c>
      <c r="D43" s="61"/>
      <c r="E43" s="62">
        <v>15</v>
      </c>
      <c r="F43" s="62">
        <f>0.001*D43*E43</f>
        <v>0</v>
      </c>
      <c r="G43" s="14"/>
      <c r="H43" s="13" t="s">
        <v>10</v>
      </c>
      <c r="I43" s="19"/>
      <c r="J43" s="37"/>
    </row>
    <row r="44" spans="1:10" ht="16.5" hidden="1" customHeight="1">
      <c r="A44" s="19" t="s">
        <v>13</v>
      </c>
      <c r="B44" s="20" t="s">
        <v>134</v>
      </c>
      <c r="C44" s="23" t="s">
        <v>27</v>
      </c>
      <c r="D44" s="61"/>
      <c r="E44" s="62">
        <v>450</v>
      </c>
      <c r="F44" s="62">
        <f>0.001*D44*E44</f>
        <v>0</v>
      </c>
      <c r="G44" s="14"/>
      <c r="H44" s="13" t="s">
        <v>10</v>
      </c>
      <c r="I44" s="19"/>
      <c r="J44" s="37"/>
    </row>
    <row r="45" spans="1:10" hidden="1">
      <c r="A45" s="19" t="s">
        <v>16</v>
      </c>
      <c r="B45" s="20" t="s">
        <v>135</v>
      </c>
      <c r="C45" s="20"/>
      <c r="D45" s="61"/>
      <c r="E45" s="62"/>
      <c r="F45" s="62">
        <f>0.001*D45*E45</f>
        <v>0</v>
      </c>
      <c r="G45" s="14"/>
      <c r="H45" s="36"/>
      <c r="I45" s="19"/>
      <c r="J45" s="37"/>
    </row>
    <row r="46" spans="1:10" ht="16.5" hidden="1" customHeight="1">
      <c r="A46" s="26" t="s">
        <v>19</v>
      </c>
      <c r="B46" s="27" t="s">
        <v>20</v>
      </c>
      <c r="C46" s="27"/>
      <c r="D46" s="63"/>
      <c r="E46" s="64"/>
      <c r="F46" s="64">
        <f>0.001*D46*E46</f>
        <v>0</v>
      </c>
      <c r="G46" s="29"/>
      <c r="H46" s="28"/>
      <c r="I46" s="19"/>
      <c r="J46" s="37"/>
    </row>
    <row r="47" spans="1:10" ht="16.5" hidden="1" customHeight="1">
      <c r="A47" s="19" t="s">
        <v>21</v>
      </c>
      <c r="B47" s="19" t="s">
        <v>136</v>
      </c>
      <c r="C47" s="19"/>
      <c r="D47" s="61"/>
      <c r="E47" s="62"/>
      <c r="F47" s="62">
        <f>SUM(F42:F46)</f>
        <v>0</v>
      </c>
      <c r="G47" s="14"/>
      <c r="H47" s="13"/>
      <c r="I47" s="19"/>
      <c r="J47" s="37"/>
    </row>
    <row r="48" spans="1:10" ht="16.5" hidden="1" customHeight="1">
      <c r="A48" s="19"/>
      <c r="B48" s="13"/>
      <c r="C48" s="13"/>
      <c r="D48" s="61"/>
      <c r="E48" s="62"/>
      <c r="F48" s="62"/>
      <c r="G48" s="14"/>
      <c r="H48" s="13"/>
      <c r="I48" s="19"/>
      <c r="J48" s="37"/>
    </row>
    <row r="49" spans="1:10" ht="16.5" hidden="1" customHeight="1">
      <c r="A49" s="12">
        <v>5</v>
      </c>
      <c r="B49" s="7" t="s">
        <v>137</v>
      </c>
      <c r="C49" s="7"/>
      <c r="D49" s="61"/>
      <c r="E49" s="62"/>
      <c r="F49" s="62"/>
      <c r="G49" s="14"/>
      <c r="H49" s="13"/>
      <c r="I49" s="19"/>
      <c r="J49" s="37"/>
    </row>
    <row r="50" spans="1:10" ht="16.5" hidden="1" customHeight="1">
      <c r="A50" s="39" t="s">
        <v>8</v>
      </c>
      <c r="B50" s="40" t="s">
        <v>138</v>
      </c>
      <c r="C50" s="40"/>
      <c r="D50" s="61"/>
      <c r="E50" s="62">
        <v>1000</v>
      </c>
      <c r="F50" s="62">
        <f t="shared" ref="F50:F55" si="2">0.001*D50*E50</f>
        <v>0</v>
      </c>
      <c r="G50" s="14"/>
      <c r="H50" s="13" t="s">
        <v>10</v>
      </c>
      <c r="I50" s="19"/>
      <c r="J50" s="37"/>
    </row>
    <row r="51" spans="1:10" ht="16.5" hidden="1" customHeight="1">
      <c r="A51" s="39" t="s">
        <v>11</v>
      </c>
      <c r="B51" s="23" t="s">
        <v>17</v>
      </c>
      <c r="C51" s="23" t="s">
        <v>18</v>
      </c>
      <c r="D51" s="61"/>
      <c r="E51" s="62">
        <v>5</v>
      </c>
      <c r="F51" s="62">
        <f t="shared" si="2"/>
        <v>0</v>
      </c>
      <c r="G51" s="14"/>
      <c r="H51" s="13" t="s">
        <v>139</v>
      </c>
      <c r="I51" s="19"/>
      <c r="J51" s="37"/>
    </row>
    <row r="52" spans="1:10" ht="16.5" hidden="1" customHeight="1">
      <c r="A52" s="19" t="s">
        <v>13</v>
      </c>
      <c r="B52" s="41" t="s">
        <v>140</v>
      </c>
      <c r="C52" s="40" t="s">
        <v>15</v>
      </c>
      <c r="D52" s="61"/>
      <c r="E52" s="62">
        <v>6201</v>
      </c>
      <c r="F52" s="62">
        <f t="shared" si="2"/>
        <v>0</v>
      </c>
      <c r="G52" s="14"/>
      <c r="H52" s="13" t="s">
        <v>10</v>
      </c>
      <c r="I52" s="19"/>
      <c r="J52" s="37"/>
    </row>
    <row r="53" spans="1:10" ht="16.5" hidden="1" customHeight="1">
      <c r="A53" s="19" t="s">
        <v>16</v>
      </c>
      <c r="B53" s="41" t="s">
        <v>24</v>
      </c>
      <c r="C53" s="41" t="s">
        <v>27</v>
      </c>
      <c r="D53" s="67"/>
      <c r="E53" s="62">
        <v>15</v>
      </c>
      <c r="F53" s="62">
        <f t="shared" si="2"/>
        <v>0</v>
      </c>
      <c r="G53" s="14"/>
      <c r="H53" s="13" t="s">
        <v>139</v>
      </c>
      <c r="I53" s="19"/>
      <c r="J53" s="37"/>
    </row>
    <row r="54" spans="1:10" ht="16.5" hidden="1" customHeight="1">
      <c r="A54" s="19" t="s">
        <v>19</v>
      </c>
      <c r="B54" s="41" t="s">
        <v>141</v>
      </c>
      <c r="C54" s="41" t="s">
        <v>27</v>
      </c>
      <c r="D54" s="67"/>
      <c r="E54" s="62">
        <v>40</v>
      </c>
      <c r="F54" s="62">
        <f t="shared" si="2"/>
        <v>0</v>
      </c>
      <c r="G54" s="14"/>
      <c r="H54" s="13" t="s">
        <v>139</v>
      </c>
      <c r="I54" s="19"/>
      <c r="J54" s="37"/>
    </row>
    <row r="55" spans="1:10" ht="16.5" hidden="1" customHeight="1">
      <c r="A55" s="26" t="s">
        <v>21</v>
      </c>
      <c r="B55" s="27" t="s">
        <v>20</v>
      </c>
      <c r="C55" s="27"/>
      <c r="D55" s="63"/>
      <c r="E55" s="64"/>
      <c r="F55" s="64">
        <f t="shared" si="2"/>
        <v>0</v>
      </c>
      <c r="G55" s="29"/>
      <c r="H55" s="28"/>
      <c r="I55" s="19"/>
      <c r="J55" s="37"/>
    </row>
    <row r="56" spans="1:10" ht="16.5" hidden="1" customHeight="1">
      <c r="A56" s="19" t="s">
        <v>35</v>
      </c>
      <c r="B56" s="21" t="s">
        <v>142</v>
      </c>
      <c r="C56" s="21"/>
      <c r="D56" s="61"/>
      <c r="E56" s="62"/>
      <c r="F56" s="62">
        <f>SUM(F50:F55)</f>
        <v>0</v>
      </c>
      <c r="G56" s="14"/>
      <c r="H56" s="13"/>
      <c r="I56" s="19"/>
      <c r="J56" s="37"/>
    </row>
    <row r="57" spans="1:10" ht="16.5" hidden="1" customHeight="1">
      <c r="A57" s="19"/>
      <c r="B57" s="13"/>
      <c r="C57" s="13"/>
      <c r="D57" s="61"/>
      <c r="E57" s="62"/>
      <c r="F57" s="62"/>
      <c r="G57" s="14"/>
      <c r="H57" s="13"/>
      <c r="I57" s="19"/>
      <c r="J57" s="37"/>
    </row>
    <row r="58" spans="1:10" hidden="1">
      <c r="A58" s="12">
        <v>5</v>
      </c>
      <c r="B58" s="7" t="s">
        <v>143</v>
      </c>
      <c r="C58" s="7"/>
      <c r="D58" s="61"/>
      <c r="E58" s="62"/>
      <c r="F58" s="62"/>
      <c r="G58" s="14"/>
      <c r="H58" s="13"/>
      <c r="I58" s="19"/>
      <c r="J58" s="37"/>
    </row>
    <row r="59" spans="1:10" ht="16.5" hidden="1" customHeight="1">
      <c r="A59" s="39" t="s">
        <v>8</v>
      </c>
      <c r="B59" s="40" t="s">
        <v>138</v>
      </c>
      <c r="C59" s="40"/>
      <c r="D59" s="61"/>
      <c r="E59" s="62">
        <v>1000</v>
      </c>
      <c r="F59" s="62">
        <f t="shared" ref="F59:F64" si="3">0.001*D59*E59</f>
        <v>0</v>
      </c>
      <c r="G59" s="14"/>
      <c r="H59" s="13" t="s">
        <v>10</v>
      </c>
      <c r="I59" s="19"/>
      <c r="J59" s="37"/>
    </row>
    <row r="60" spans="1:10" ht="16.5" hidden="1" customHeight="1">
      <c r="A60" s="39" t="s">
        <v>11</v>
      </c>
      <c r="B60" s="23" t="s">
        <v>17</v>
      </c>
      <c r="C60" s="23" t="s">
        <v>18</v>
      </c>
      <c r="D60" s="61"/>
      <c r="E60" s="62">
        <v>5</v>
      </c>
      <c r="F60" s="62">
        <f t="shared" si="3"/>
        <v>0</v>
      </c>
      <c r="G60" s="14"/>
      <c r="H60" s="13" t="s">
        <v>139</v>
      </c>
      <c r="I60" s="19"/>
      <c r="J60" s="37"/>
    </row>
    <row r="61" spans="1:10" ht="16.5" hidden="1" customHeight="1">
      <c r="A61" s="19" t="s">
        <v>13</v>
      </c>
      <c r="B61" s="41" t="s">
        <v>140</v>
      </c>
      <c r="C61" s="40" t="s">
        <v>15</v>
      </c>
      <c r="D61" s="61"/>
      <c r="E61" s="62">
        <v>6201</v>
      </c>
      <c r="F61" s="62">
        <f t="shared" si="3"/>
        <v>0</v>
      </c>
      <c r="G61" s="14"/>
      <c r="H61" s="13" t="s">
        <v>10</v>
      </c>
      <c r="I61" s="19"/>
      <c r="J61" s="37"/>
    </row>
    <row r="62" spans="1:10" ht="16.5" hidden="1" customHeight="1">
      <c r="A62" s="19" t="s">
        <v>16</v>
      </c>
      <c r="B62" s="41" t="s">
        <v>24</v>
      </c>
      <c r="C62" s="41" t="s">
        <v>27</v>
      </c>
      <c r="D62" s="67"/>
      <c r="E62" s="62">
        <v>15</v>
      </c>
      <c r="F62" s="62">
        <f t="shared" si="3"/>
        <v>0</v>
      </c>
      <c r="G62" s="14"/>
      <c r="H62" s="13" t="s">
        <v>139</v>
      </c>
      <c r="I62" s="19"/>
      <c r="J62" s="37"/>
    </row>
    <row r="63" spans="1:10" hidden="1">
      <c r="A63" s="19" t="s">
        <v>19</v>
      </c>
      <c r="B63" s="41" t="s">
        <v>141</v>
      </c>
      <c r="C63" s="41" t="s">
        <v>27</v>
      </c>
      <c r="D63" s="67"/>
      <c r="E63" s="62">
        <v>40</v>
      </c>
      <c r="F63" s="62">
        <f t="shared" si="3"/>
        <v>0</v>
      </c>
      <c r="G63" s="14"/>
      <c r="H63" s="13" t="s">
        <v>139</v>
      </c>
      <c r="I63" s="19"/>
      <c r="J63" s="37"/>
    </row>
    <row r="64" spans="1:10" ht="16.5" hidden="1" customHeight="1">
      <c r="A64" s="26" t="s">
        <v>21</v>
      </c>
      <c r="B64" s="27" t="s">
        <v>20</v>
      </c>
      <c r="C64" s="27"/>
      <c r="D64" s="63"/>
      <c r="E64" s="64"/>
      <c r="F64" s="64">
        <f t="shared" si="3"/>
        <v>0</v>
      </c>
      <c r="G64" s="29"/>
      <c r="H64" s="28"/>
      <c r="I64" s="19"/>
      <c r="J64" s="37"/>
    </row>
    <row r="65" spans="1:10" ht="16.5" hidden="1" customHeight="1">
      <c r="A65" s="19" t="s">
        <v>35</v>
      </c>
      <c r="B65" s="21" t="s">
        <v>144</v>
      </c>
      <c r="C65" s="21"/>
      <c r="D65" s="61"/>
      <c r="E65" s="62"/>
      <c r="F65" s="62">
        <f>SUM(F59:F64)</f>
        <v>0</v>
      </c>
      <c r="G65" s="14"/>
      <c r="H65" s="13"/>
      <c r="I65" s="19"/>
      <c r="J65" s="37"/>
    </row>
    <row r="66" spans="1:10" ht="16.5" hidden="1" customHeight="1">
      <c r="A66" s="19"/>
      <c r="B66" s="13"/>
      <c r="C66" s="13"/>
      <c r="D66" s="61"/>
      <c r="E66" s="62"/>
      <c r="F66" s="62"/>
      <c r="G66" s="14"/>
      <c r="H66" s="13"/>
      <c r="I66" s="19"/>
      <c r="J66" s="37"/>
    </row>
    <row r="67" spans="1:10" ht="16.5" hidden="1" customHeight="1">
      <c r="A67" s="12">
        <v>7</v>
      </c>
      <c r="B67" s="7" t="s">
        <v>145</v>
      </c>
      <c r="C67" s="7"/>
      <c r="D67" s="61"/>
      <c r="E67" s="62"/>
      <c r="F67" s="62"/>
      <c r="G67" s="14"/>
      <c r="H67" s="13"/>
      <c r="I67" s="19"/>
      <c r="J67" s="37"/>
    </row>
    <row r="68" spans="1:10" ht="16.5" hidden="1" customHeight="1">
      <c r="A68" s="19" t="s">
        <v>8</v>
      </c>
      <c r="B68" s="41" t="s">
        <v>140</v>
      </c>
      <c r="C68" s="41" t="s">
        <v>15</v>
      </c>
      <c r="D68" s="61"/>
      <c r="E68" s="62">
        <v>6200</v>
      </c>
      <c r="F68" s="62">
        <f>0.001*D68*E68</f>
        <v>0</v>
      </c>
      <c r="G68" s="14"/>
      <c r="H68" s="13" t="s">
        <v>10</v>
      </c>
      <c r="I68" s="19"/>
      <c r="J68" s="37"/>
    </row>
    <row r="69" spans="1:10" ht="16.5" hidden="1" customHeight="1">
      <c r="A69" s="19" t="s">
        <v>11</v>
      </c>
      <c r="B69" s="40" t="s">
        <v>24</v>
      </c>
      <c r="C69" s="40" t="s">
        <v>27</v>
      </c>
      <c r="D69" s="67"/>
      <c r="E69" s="62">
        <v>20</v>
      </c>
      <c r="F69" s="62">
        <f>0.001*D69*E69</f>
        <v>0</v>
      </c>
      <c r="G69" s="14"/>
      <c r="H69" s="13" t="s">
        <v>146</v>
      </c>
      <c r="I69" s="19"/>
      <c r="J69" s="37"/>
    </row>
    <row r="70" spans="1:10" hidden="1">
      <c r="A70" s="19" t="s">
        <v>13</v>
      </c>
      <c r="B70" s="20" t="s">
        <v>147</v>
      </c>
      <c r="C70" s="20" t="s">
        <v>27</v>
      </c>
      <c r="D70" s="67"/>
      <c r="E70" s="62">
        <v>40</v>
      </c>
      <c r="F70" s="62">
        <f>0.001*D70*E70</f>
        <v>0</v>
      </c>
      <c r="G70" s="14"/>
      <c r="H70" s="13" t="s">
        <v>146</v>
      </c>
      <c r="I70" s="19"/>
      <c r="J70" s="37"/>
    </row>
    <row r="71" spans="1:10" ht="16.5" hidden="1" customHeight="1">
      <c r="A71" s="19" t="s">
        <v>16</v>
      </c>
      <c r="B71" s="20" t="s">
        <v>57</v>
      </c>
      <c r="C71" s="20" t="s">
        <v>27</v>
      </c>
      <c r="D71" s="61"/>
      <c r="E71" s="62">
        <v>450</v>
      </c>
      <c r="F71" s="62">
        <f>0.001*D71*E71</f>
        <v>0</v>
      </c>
      <c r="G71" s="14"/>
      <c r="H71" s="13" t="s">
        <v>10</v>
      </c>
      <c r="I71" s="19"/>
      <c r="J71" s="37"/>
    </row>
    <row r="72" spans="1:10" ht="16.5" hidden="1" customHeight="1">
      <c r="A72" s="26" t="s">
        <v>16</v>
      </c>
      <c r="B72" s="27" t="s">
        <v>20</v>
      </c>
      <c r="C72" s="27"/>
      <c r="D72" s="63"/>
      <c r="E72" s="64"/>
      <c r="F72" s="64">
        <f>0.001*D72*E72</f>
        <v>0</v>
      </c>
      <c r="G72" s="29"/>
      <c r="H72" s="28"/>
      <c r="I72" s="19"/>
      <c r="J72" s="37"/>
    </row>
    <row r="73" spans="1:10" ht="16.5" hidden="1" customHeight="1">
      <c r="A73" s="19" t="s">
        <v>19</v>
      </c>
      <c r="B73" s="39" t="s">
        <v>148</v>
      </c>
      <c r="C73" s="19"/>
      <c r="D73" s="61"/>
      <c r="E73" s="62"/>
      <c r="F73" s="62">
        <f>SUM(F68:F72)</f>
        <v>0</v>
      </c>
      <c r="G73" s="14"/>
      <c r="H73" s="13"/>
      <c r="I73" s="19"/>
      <c r="J73" s="37"/>
    </row>
    <row r="74" spans="1:10" ht="16.5" customHeight="1">
      <c r="A74" s="19"/>
      <c r="B74" s="13"/>
      <c r="C74" s="13"/>
      <c r="D74" s="61"/>
      <c r="E74" s="62"/>
      <c r="F74" s="62"/>
      <c r="G74" s="14"/>
      <c r="H74" s="13"/>
      <c r="I74" s="19"/>
      <c r="J74" s="37"/>
    </row>
    <row r="75" spans="1:10" ht="16.5" customHeight="1">
      <c r="A75" s="12">
        <v>8</v>
      </c>
      <c r="B75" s="7" t="s">
        <v>58</v>
      </c>
      <c r="C75" s="7"/>
      <c r="D75" s="61"/>
      <c r="E75" s="62"/>
      <c r="F75" s="62"/>
      <c r="G75" s="14"/>
      <c r="H75" s="13"/>
      <c r="I75" s="19"/>
      <c r="J75" s="37"/>
    </row>
    <row r="76" spans="1:10" ht="16.5" customHeight="1">
      <c r="A76" s="19" t="s">
        <v>8</v>
      </c>
      <c r="B76" s="23" t="s">
        <v>163</v>
      </c>
      <c r="C76" s="20"/>
      <c r="D76" s="61">
        <v>1</v>
      </c>
      <c r="E76" s="239">
        <v>40000</v>
      </c>
      <c r="F76" s="239">
        <f t="shared" ref="F76:F81" si="4">0.001*D76*E76</f>
        <v>40</v>
      </c>
      <c r="G76" s="240"/>
      <c r="H76" s="142" t="s">
        <v>396</v>
      </c>
      <c r="I76" s="19"/>
      <c r="J76" s="37"/>
    </row>
    <row r="77" spans="1:10" ht="16.5" customHeight="1">
      <c r="A77" s="19" t="s">
        <v>11</v>
      </c>
      <c r="B77" s="20" t="s">
        <v>59</v>
      </c>
      <c r="C77" s="20"/>
      <c r="D77" s="191">
        <v>0</v>
      </c>
      <c r="E77" s="239">
        <v>20000</v>
      </c>
      <c r="F77" s="239">
        <f t="shared" si="4"/>
        <v>0</v>
      </c>
      <c r="G77" s="240"/>
      <c r="H77" s="142" t="s">
        <v>245</v>
      </c>
      <c r="I77" s="19"/>
      <c r="J77" s="37"/>
    </row>
    <row r="78" spans="1:10" ht="16.5" customHeight="1">
      <c r="A78" s="19" t="s">
        <v>13</v>
      </c>
      <c r="B78" s="20" t="s">
        <v>60</v>
      </c>
      <c r="C78" s="20"/>
      <c r="D78" s="61">
        <v>0</v>
      </c>
      <c r="E78" s="62">
        <v>5000</v>
      </c>
      <c r="F78" s="62">
        <f t="shared" si="4"/>
        <v>0</v>
      </c>
      <c r="G78" s="14"/>
      <c r="H78" s="142" t="s">
        <v>378</v>
      </c>
      <c r="I78" s="19"/>
      <c r="J78" s="37"/>
    </row>
    <row r="79" spans="1:10" ht="16.5" customHeight="1">
      <c r="A79" s="39" t="s">
        <v>16</v>
      </c>
      <c r="B79" s="23" t="s">
        <v>61</v>
      </c>
      <c r="C79" s="23" t="s">
        <v>15</v>
      </c>
      <c r="D79" s="191">
        <v>1.5</v>
      </c>
      <c r="E79" s="239">
        <v>60000</v>
      </c>
      <c r="F79" s="239">
        <f t="shared" si="4"/>
        <v>90</v>
      </c>
      <c r="G79" s="240"/>
      <c r="H79" s="142" t="s">
        <v>289</v>
      </c>
      <c r="I79" s="19"/>
      <c r="J79" s="37"/>
    </row>
    <row r="80" spans="1:10" ht="16.5" customHeight="1">
      <c r="A80" s="39" t="s">
        <v>19</v>
      </c>
      <c r="B80" s="20" t="s">
        <v>62</v>
      </c>
      <c r="C80" s="20"/>
      <c r="D80" s="61">
        <v>1</v>
      </c>
      <c r="E80" s="62">
        <v>20000</v>
      </c>
      <c r="F80" s="62">
        <f t="shared" si="4"/>
        <v>20</v>
      </c>
      <c r="G80" s="14"/>
      <c r="H80" s="13" t="s">
        <v>10</v>
      </c>
      <c r="I80" s="19"/>
      <c r="J80" s="37"/>
    </row>
    <row r="81" spans="1:10" ht="16.5" customHeight="1">
      <c r="A81" s="42" t="s">
        <v>21</v>
      </c>
      <c r="B81" s="27" t="s">
        <v>149</v>
      </c>
      <c r="C81" s="27"/>
      <c r="D81" s="63">
        <v>1</v>
      </c>
      <c r="E81" s="64">
        <v>7500</v>
      </c>
      <c r="F81" s="64">
        <f t="shared" si="4"/>
        <v>7.5</v>
      </c>
      <c r="G81" s="29"/>
      <c r="H81" s="28" t="s">
        <v>10</v>
      </c>
      <c r="I81" s="19"/>
      <c r="J81" s="37"/>
    </row>
    <row r="82" spans="1:10" ht="16.5" customHeight="1">
      <c r="A82" s="39" t="s">
        <v>35</v>
      </c>
      <c r="B82" s="39" t="s">
        <v>63</v>
      </c>
      <c r="C82" s="13"/>
      <c r="D82" s="61"/>
      <c r="E82" s="62"/>
      <c r="F82" s="62">
        <f>SUM(F76:F81)</f>
        <v>157.5</v>
      </c>
      <c r="G82" s="14"/>
      <c r="H82" s="13"/>
      <c r="I82" s="19"/>
      <c r="J82" s="37"/>
    </row>
    <row r="83" spans="1:10" ht="16.5" customHeight="1">
      <c r="A83" s="19"/>
      <c r="B83" s="13"/>
      <c r="C83" s="13"/>
      <c r="D83" s="61"/>
      <c r="E83" s="62"/>
      <c r="F83" s="62"/>
      <c r="G83" s="14"/>
      <c r="H83" s="13"/>
      <c r="I83" s="19"/>
      <c r="J83" s="37"/>
    </row>
    <row r="84" spans="1:10" ht="16.5" customHeight="1">
      <c r="A84" s="12">
        <v>9</v>
      </c>
      <c r="B84" s="7" t="s">
        <v>247</v>
      </c>
      <c r="C84" s="7"/>
      <c r="D84" s="61"/>
      <c r="E84" s="62"/>
      <c r="F84" s="62"/>
      <c r="G84" s="14"/>
      <c r="H84" s="13"/>
      <c r="I84" s="19"/>
      <c r="J84" s="37"/>
    </row>
    <row r="85" spans="1:10" ht="16.5" customHeight="1">
      <c r="A85" s="19" t="s">
        <v>8</v>
      </c>
      <c r="B85" s="172" t="s">
        <v>248</v>
      </c>
      <c r="C85" s="41" t="s">
        <v>64</v>
      </c>
      <c r="D85" s="191">
        <v>3</v>
      </c>
      <c r="E85" s="239">
        <v>50000</v>
      </c>
      <c r="F85" s="239">
        <f t="shared" ref="F85:F90" si="5">0.001*D85*E85</f>
        <v>150</v>
      </c>
      <c r="G85" s="240"/>
      <c r="H85" s="142" t="s">
        <v>10</v>
      </c>
      <c r="I85" s="19"/>
      <c r="J85" s="37"/>
    </row>
    <row r="86" spans="1:10" ht="16.5" customHeight="1">
      <c r="A86" s="19" t="s">
        <v>11</v>
      </c>
      <c r="B86" s="41" t="s">
        <v>65</v>
      </c>
      <c r="C86" s="41" t="s">
        <v>64</v>
      </c>
      <c r="D86" s="191">
        <v>2.5</v>
      </c>
      <c r="E86" s="239">
        <v>75000</v>
      </c>
      <c r="F86" s="239">
        <f t="shared" si="5"/>
        <v>187.5</v>
      </c>
      <c r="G86" s="240"/>
      <c r="H86" s="142" t="s">
        <v>397</v>
      </c>
      <c r="I86" s="19"/>
      <c r="J86" s="37"/>
    </row>
    <row r="87" spans="1:10" ht="16.5" customHeight="1">
      <c r="A87" s="19" t="s">
        <v>13</v>
      </c>
      <c r="B87" s="172" t="s">
        <v>249</v>
      </c>
      <c r="C87" s="41"/>
      <c r="D87" s="191">
        <v>1</v>
      </c>
      <c r="E87" s="239">
        <v>50000</v>
      </c>
      <c r="F87" s="239">
        <f t="shared" si="5"/>
        <v>50</v>
      </c>
      <c r="G87" s="240"/>
      <c r="H87" s="142" t="s">
        <v>10</v>
      </c>
      <c r="I87" s="19"/>
      <c r="J87" s="37"/>
    </row>
    <row r="88" spans="1:10">
      <c r="A88" s="19" t="s">
        <v>16</v>
      </c>
      <c r="B88" s="172" t="s">
        <v>250</v>
      </c>
      <c r="C88" s="41"/>
      <c r="D88" s="191">
        <v>1</v>
      </c>
      <c r="E88" s="239">
        <v>25000</v>
      </c>
      <c r="F88" s="239">
        <f t="shared" si="5"/>
        <v>25</v>
      </c>
      <c r="G88" s="240"/>
      <c r="H88" s="142" t="s">
        <v>10</v>
      </c>
      <c r="I88" s="19"/>
      <c r="J88" s="37"/>
    </row>
    <row r="89" spans="1:10" ht="16.5" customHeight="1">
      <c r="A89" s="19" t="s">
        <v>19</v>
      </c>
      <c r="B89" s="41" t="s">
        <v>66</v>
      </c>
      <c r="C89" s="41"/>
      <c r="D89" s="191">
        <v>1</v>
      </c>
      <c r="E89" s="239">
        <v>25000</v>
      </c>
      <c r="F89" s="239">
        <f t="shared" si="5"/>
        <v>25</v>
      </c>
      <c r="G89" s="240"/>
      <c r="H89" s="142" t="s">
        <v>10</v>
      </c>
      <c r="I89" s="19"/>
      <c r="J89" s="37"/>
    </row>
    <row r="90" spans="1:10" ht="16.5" customHeight="1">
      <c r="A90" s="26" t="s">
        <v>21</v>
      </c>
      <c r="B90" s="192" t="s">
        <v>251</v>
      </c>
      <c r="C90" s="27"/>
      <c r="D90" s="184">
        <v>1</v>
      </c>
      <c r="E90" s="242">
        <v>50000</v>
      </c>
      <c r="F90" s="242">
        <f t="shared" si="5"/>
        <v>50</v>
      </c>
      <c r="G90" s="243"/>
      <c r="H90" s="238" t="s">
        <v>273</v>
      </c>
      <c r="I90" s="19"/>
      <c r="J90" s="37"/>
    </row>
    <row r="91" spans="1:10" ht="16.5" customHeight="1">
      <c r="A91" s="19" t="s">
        <v>35</v>
      </c>
      <c r="B91" s="185" t="s">
        <v>322</v>
      </c>
      <c r="C91" s="21"/>
      <c r="D91" s="61"/>
      <c r="E91" s="62"/>
      <c r="F91" s="62">
        <f>SUM(F85:F90)</f>
        <v>487.5</v>
      </c>
      <c r="G91" s="14"/>
      <c r="H91" s="13"/>
      <c r="I91" s="19"/>
      <c r="J91" s="37"/>
    </row>
    <row r="92" spans="1:10" ht="16.5" customHeight="1">
      <c r="A92" s="19"/>
      <c r="B92" s="13"/>
      <c r="C92" s="13"/>
      <c r="D92" s="61"/>
      <c r="E92" s="62"/>
      <c r="F92" s="62"/>
      <c r="G92" s="14"/>
      <c r="H92" s="13"/>
      <c r="I92" s="19"/>
      <c r="J92" s="37"/>
    </row>
    <row r="93" spans="1:10" ht="16.5" customHeight="1">
      <c r="A93" s="12">
        <v>10</v>
      </c>
      <c r="B93" s="7" t="s">
        <v>67</v>
      </c>
      <c r="C93" s="7"/>
      <c r="D93" s="61"/>
      <c r="E93" s="62"/>
      <c r="F93" s="62"/>
      <c r="G93" s="14"/>
      <c r="H93" s="13"/>
      <c r="I93" s="19"/>
      <c r="J93" s="37"/>
    </row>
    <row r="94" spans="1:10" ht="16.5" customHeight="1">
      <c r="A94" s="19" t="s">
        <v>8</v>
      </c>
      <c r="B94" s="41" t="s">
        <v>68</v>
      </c>
      <c r="C94" s="41"/>
      <c r="D94" s="69">
        <v>1</v>
      </c>
      <c r="E94" s="66">
        <v>5000</v>
      </c>
      <c r="F94" s="62">
        <f>0.001*D94*E94</f>
        <v>5</v>
      </c>
      <c r="G94" s="14"/>
      <c r="H94" s="13" t="s">
        <v>10</v>
      </c>
      <c r="I94" s="19"/>
      <c r="J94" s="37"/>
    </row>
    <row r="95" spans="1:10">
      <c r="A95" s="19" t="s">
        <v>11</v>
      </c>
      <c r="B95" s="41" t="s">
        <v>69</v>
      </c>
      <c r="C95" s="41"/>
      <c r="D95" s="246">
        <v>1</v>
      </c>
      <c r="E95" s="247">
        <v>20000</v>
      </c>
      <c r="F95" s="239">
        <f>0.001*D95*E95</f>
        <v>20</v>
      </c>
      <c r="G95" s="240"/>
      <c r="H95" s="176" t="s">
        <v>290</v>
      </c>
      <c r="I95" s="19"/>
      <c r="J95" s="37"/>
    </row>
    <row r="96" spans="1:10" ht="16.5" customHeight="1">
      <c r="A96" s="19" t="s">
        <v>13</v>
      </c>
      <c r="B96" s="41" t="s">
        <v>70</v>
      </c>
      <c r="C96" s="41"/>
      <c r="D96" s="69">
        <v>1</v>
      </c>
      <c r="E96" s="66">
        <v>5000</v>
      </c>
      <c r="F96" s="62">
        <f>0.001*D96*E96</f>
        <v>5</v>
      </c>
      <c r="G96" s="14"/>
      <c r="H96" s="13" t="s">
        <v>10</v>
      </c>
      <c r="I96" s="19"/>
      <c r="J96" s="37"/>
    </row>
    <row r="97" spans="1:10" ht="15.75" customHeight="1">
      <c r="A97" s="19" t="s">
        <v>16</v>
      </c>
      <c r="B97" s="41" t="s">
        <v>71</v>
      </c>
      <c r="C97" s="41"/>
      <c r="D97" s="69">
        <v>1</v>
      </c>
      <c r="E97" s="66">
        <v>10000</v>
      </c>
      <c r="F97" s="62">
        <f>0.001*D97*E97</f>
        <v>10</v>
      </c>
      <c r="G97" s="14"/>
      <c r="H97" s="13" t="s">
        <v>10</v>
      </c>
      <c r="I97" s="19"/>
      <c r="J97" s="37"/>
    </row>
    <row r="98" spans="1:10" ht="16.5" customHeight="1">
      <c r="A98" s="26" t="s">
        <v>19</v>
      </c>
      <c r="B98" s="27" t="s">
        <v>20</v>
      </c>
      <c r="C98" s="27"/>
      <c r="D98" s="63"/>
      <c r="E98" s="64"/>
      <c r="F98" s="64">
        <f>0.001*D98*E98</f>
        <v>0</v>
      </c>
      <c r="G98" s="29"/>
      <c r="H98" s="28"/>
      <c r="I98" s="19"/>
      <c r="J98" s="37"/>
    </row>
    <row r="99" spans="1:10" ht="16.5" customHeight="1">
      <c r="A99" s="19" t="s">
        <v>21</v>
      </c>
      <c r="B99" s="39" t="s">
        <v>72</v>
      </c>
      <c r="C99" s="39"/>
      <c r="D99" s="61"/>
      <c r="E99" s="62"/>
      <c r="F99" s="62">
        <f>SUM(F94:F98)</f>
        <v>40</v>
      </c>
      <c r="G99" s="14"/>
      <c r="H99" s="13"/>
      <c r="I99" s="19"/>
      <c r="J99" s="37"/>
    </row>
    <row r="100" spans="1:10" ht="16.5" customHeight="1">
      <c r="A100" s="13"/>
      <c r="B100" s="13"/>
      <c r="C100" s="13"/>
      <c r="D100" s="61"/>
      <c r="E100" s="62"/>
      <c r="F100" s="62"/>
      <c r="G100" s="14"/>
      <c r="H100" s="13"/>
      <c r="I100" s="19"/>
      <c r="J100" s="37"/>
    </row>
    <row r="101" spans="1:10" ht="16.5" customHeight="1">
      <c r="A101" s="12">
        <v>11</v>
      </c>
      <c r="B101" s="7" t="s">
        <v>73</v>
      </c>
      <c r="C101" s="7"/>
      <c r="D101" s="61"/>
      <c r="E101" s="62"/>
      <c r="F101" s="62"/>
      <c r="G101" s="14"/>
      <c r="H101" s="13"/>
      <c r="I101" s="19"/>
      <c r="J101" s="37"/>
    </row>
    <row r="102" spans="1:10" ht="16.5" customHeight="1">
      <c r="A102" s="19" t="s">
        <v>8</v>
      </c>
      <c r="B102" s="20" t="s">
        <v>14</v>
      </c>
      <c r="C102" s="20" t="s">
        <v>15</v>
      </c>
      <c r="D102" s="191">
        <v>1</v>
      </c>
      <c r="E102" s="239">
        <v>6200</v>
      </c>
      <c r="F102" s="239">
        <f>0.001*D102*E102</f>
        <v>6.2</v>
      </c>
      <c r="G102" s="240"/>
      <c r="H102" s="142" t="s">
        <v>10</v>
      </c>
      <c r="I102" s="19"/>
      <c r="J102" s="37"/>
    </row>
    <row r="103" spans="1:10" ht="16.5" customHeight="1">
      <c r="A103" s="19" t="s">
        <v>11</v>
      </c>
      <c r="B103" s="20" t="s">
        <v>74</v>
      </c>
      <c r="C103" s="20"/>
      <c r="D103" s="191">
        <v>1</v>
      </c>
      <c r="E103" s="239">
        <f>'Interconnect Costs'!K6</f>
        <v>52000</v>
      </c>
      <c r="F103" s="239">
        <f>0.001*D103*E103</f>
        <v>52</v>
      </c>
      <c r="G103" s="240"/>
      <c r="H103" s="142" t="s">
        <v>274</v>
      </c>
      <c r="I103" s="19"/>
      <c r="J103" s="37"/>
    </row>
    <row r="104" spans="1:10" ht="16.5" customHeight="1">
      <c r="A104" s="19" t="s">
        <v>13</v>
      </c>
      <c r="B104" s="20" t="s">
        <v>75</v>
      </c>
      <c r="C104" s="20"/>
      <c r="D104" s="191">
        <v>1</v>
      </c>
      <c r="E104" s="239">
        <v>10000</v>
      </c>
      <c r="F104" s="239">
        <f>0.001*D104*E104</f>
        <v>10</v>
      </c>
      <c r="G104" s="240"/>
      <c r="H104" s="142" t="s">
        <v>10</v>
      </c>
      <c r="I104" s="19"/>
      <c r="J104" s="37"/>
    </row>
    <row r="105" spans="1:10" ht="32.25" customHeight="1">
      <c r="A105" s="19" t="s">
        <v>13</v>
      </c>
      <c r="B105" s="20" t="s">
        <v>76</v>
      </c>
      <c r="C105" s="20"/>
      <c r="D105" s="191">
        <v>1</v>
      </c>
      <c r="E105" s="239">
        <f>'Interconnect Costs'!K7+'Interconnect Costs'!K8+'Interconnect Costs'!K9</f>
        <v>50000</v>
      </c>
      <c r="F105" s="239">
        <f>0.001*D105*E105</f>
        <v>50</v>
      </c>
      <c r="G105" s="240"/>
      <c r="H105" s="142" t="s">
        <v>267</v>
      </c>
      <c r="I105" s="19"/>
      <c r="J105" s="37"/>
    </row>
    <row r="106" spans="1:10" ht="16.5" customHeight="1">
      <c r="A106" s="26" t="s">
        <v>16</v>
      </c>
      <c r="B106" s="192" t="s">
        <v>248</v>
      </c>
      <c r="C106" s="27"/>
      <c r="D106" s="184">
        <v>1</v>
      </c>
      <c r="E106" s="242">
        <v>20000</v>
      </c>
      <c r="F106" s="242">
        <f>0.001*D106*E106</f>
        <v>20</v>
      </c>
      <c r="G106" s="243"/>
      <c r="H106" s="238" t="s">
        <v>10</v>
      </c>
      <c r="I106" s="19"/>
      <c r="J106" s="37"/>
    </row>
    <row r="107" spans="1:10">
      <c r="A107" s="19" t="s">
        <v>21</v>
      </c>
      <c r="B107" s="19" t="s">
        <v>77</v>
      </c>
      <c r="C107" s="19"/>
      <c r="D107" s="191"/>
      <c r="E107" s="239"/>
      <c r="F107" s="239">
        <f>SUM(F102:F106)</f>
        <v>138.19999999999999</v>
      </c>
      <c r="G107" s="240"/>
      <c r="H107" s="142"/>
      <c r="I107" s="19"/>
      <c r="J107" s="37"/>
    </row>
    <row r="108" spans="1:10" ht="16.5" customHeight="1">
      <c r="A108" s="13"/>
      <c r="B108" s="13"/>
      <c r="C108" s="13"/>
      <c r="D108" s="61"/>
      <c r="E108" s="62"/>
      <c r="F108" s="62"/>
      <c r="G108" s="14"/>
      <c r="H108" s="13"/>
      <c r="I108" s="19"/>
      <c r="J108" s="37"/>
    </row>
    <row r="109" spans="1:10" ht="16.5" customHeight="1">
      <c r="A109" s="12">
        <v>12</v>
      </c>
      <c r="B109" s="7" t="s">
        <v>78</v>
      </c>
      <c r="C109" s="7"/>
      <c r="D109" s="61"/>
      <c r="E109" s="62"/>
      <c r="F109" s="62"/>
      <c r="G109" s="14"/>
      <c r="H109" s="13"/>
      <c r="I109" s="19"/>
      <c r="J109" s="37"/>
    </row>
    <row r="110" spans="1:10" ht="16.5" customHeight="1">
      <c r="A110" s="19" t="s">
        <v>8</v>
      </c>
      <c r="B110" s="20" t="s">
        <v>79</v>
      </c>
      <c r="C110" s="20"/>
      <c r="D110" s="61">
        <v>1</v>
      </c>
      <c r="E110" s="62">
        <f>F130*1000*0.08</f>
        <v>322085.14811664924</v>
      </c>
      <c r="F110" s="62">
        <f t="shared" ref="F110:F115" si="6">0.001*D110*E110</f>
        <v>322.08514811664924</v>
      </c>
      <c r="G110" s="14"/>
      <c r="H110" s="36" t="s">
        <v>164</v>
      </c>
      <c r="I110" s="19"/>
      <c r="J110" s="37"/>
    </row>
    <row r="111" spans="1:10">
      <c r="A111" s="19" t="s">
        <v>11</v>
      </c>
      <c r="B111" s="20" t="s">
        <v>80</v>
      </c>
      <c r="C111" s="20"/>
      <c r="D111" s="61">
        <v>1</v>
      </c>
      <c r="E111" s="62">
        <v>25000</v>
      </c>
      <c r="F111" s="62">
        <f t="shared" si="6"/>
        <v>25</v>
      </c>
      <c r="G111" s="14"/>
      <c r="H111" s="13" t="s">
        <v>10</v>
      </c>
      <c r="I111" s="19"/>
      <c r="J111" s="37"/>
    </row>
    <row r="112" spans="1:10" ht="16.5" customHeight="1">
      <c r="A112" s="19" t="s">
        <v>13</v>
      </c>
      <c r="B112" s="20" t="s">
        <v>81</v>
      </c>
      <c r="C112" s="20"/>
      <c r="D112" s="61">
        <v>1</v>
      </c>
      <c r="E112" s="62">
        <v>20000</v>
      </c>
      <c r="F112" s="62">
        <f t="shared" si="6"/>
        <v>20</v>
      </c>
      <c r="G112" s="14"/>
      <c r="H112" s="13" t="s">
        <v>82</v>
      </c>
      <c r="I112" s="19"/>
      <c r="J112" s="37"/>
    </row>
    <row r="113" spans="1:10" ht="16.5" customHeight="1">
      <c r="A113" s="19" t="s">
        <v>16</v>
      </c>
      <c r="B113" s="20" t="s">
        <v>83</v>
      </c>
      <c r="C113" s="20"/>
      <c r="D113" s="61">
        <v>1</v>
      </c>
      <c r="E113" s="62">
        <v>35000</v>
      </c>
      <c r="F113" s="62">
        <f t="shared" si="6"/>
        <v>35</v>
      </c>
      <c r="G113" s="14"/>
      <c r="H113" s="13" t="s">
        <v>91</v>
      </c>
      <c r="I113" s="19"/>
      <c r="J113" s="37"/>
    </row>
    <row r="114" spans="1:10">
      <c r="A114" s="19" t="s">
        <v>19</v>
      </c>
      <c r="B114" s="20" t="s">
        <v>84</v>
      </c>
      <c r="C114" s="20"/>
      <c r="D114" s="61">
        <v>1</v>
      </c>
      <c r="E114" s="62">
        <v>100000</v>
      </c>
      <c r="F114" s="62">
        <f t="shared" si="6"/>
        <v>100</v>
      </c>
      <c r="G114" s="14"/>
      <c r="H114" s="13" t="s">
        <v>10</v>
      </c>
      <c r="I114" s="19"/>
      <c r="J114" s="37"/>
    </row>
    <row r="115" spans="1:10" ht="16.5" customHeight="1">
      <c r="A115" s="26" t="s">
        <v>21</v>
      </c>
      <c r="B115" s="27" t="s">
        <v>20</v>
      </c>
      <c r="C115" s="27"/>
      <c r="D115" s="63"/>
      <c r="E115" s="64"/>
      <c r="F115" s="64">
        <f t="shared" si="6"/>
        <v>0</v>
      </c>
      <c r="G115" s="29"/>
      <c r="H115" s="28"/>
      <c r="I115" s="19"/>
      <c r="J115" s="37"/>
    </row>
    <row r="116" spans="1:10" ht="16.5" customHeight="1">
      <c r="A116" s="19" t="s">
        <v>35</v>
      </c>
      <c r="B116" s="19" t="s">
        <v>85</v>
      </c>
      <c r="C116" s="19"/>
      <c r="D116" s="61"/>
      <c r="E116" s="62"/>
      <c r="F116" s="62">
        <f>SUM(F110:F115)</f>
        <v>502.08514811664924</v>
      </c>
      <c r="G116" s="14"/>
      <c r="H116" s="13"/>
      <c r="I116" s="19"/>
      <c r="J116" s="37"/>
    </row>
    <row r="117" spans="1:10" ht="16.5" customHeight="1">
      <c r="A117" s="13"/>
      <c r="B117" s="13"/>
      <c r="C117" s="13"/>
      <c r="D117" s="61"/>
      <c r="E117" s="62"/>
      <c r="F117" s="62"/>
      <c r="G117" s="14"/>
      <c r="H117" s="13"/>
      <c r="I117" s="19"/>
      <c r="J117" s="37"/>
    </row>
    <row r="118" spans="1:10" ht="16.5" customHeight="1">
      <c r="A118" s="12"/>
      <c r="B118" s="7" t="s">
        <v>86</v>
      </c>
      <c r="C118" s="7"/>
      <c r="D118" s="61"/>
      <c r="E118" s="62"/>
      <c r="F118" s="62"/>
      <c r="G118" s="14"/>
      <c r="H118" s="13"/>
      <c r="I118" s="19"/>
      <c r="J118" s="37"/>
    </row>
    <row r="119" spans="1:10" ht="16.5" customHeight="1">
      <c r="A119" s="12">
        <f>A$2</f>
        <v>1</v>
      </c>
      <c r="B119" s="13" t="str">
        <f>B$2</f>
        <v>General</v>
      </c>
      <c r="C119" s="13"/>
      <c r="D119" s="61"/>
      <c r="E119" s="62"/>
      <c r="F119" s="62">
        <f>F$8</f>
        <v>177</v>
      </c>
      <c r="G119" s="14"/>
      <c r="H119" s="13"/>
      <c r="I119" s="19"/>
      <c r="J119" s="37"/>
    </row>
    <row r="120" spans="1:10" ht="16.5" customHeight="1">
      <c r="A120" s="12">
        <f>A$10</f>
        <v>2</v>
      </c>
      <c r="B120" s="13" t="str">
        <f>B$10</f>
        <v>Powerhouse/Intake</v>
      </c>
      <c r="C120" s="13"/>
      <c r="D120" s="61"/>
      <c r="E120" s="62"/>
      <c r="F120" s="62">
        <f>F$30</f>
        <v>2045.6350394581157</v>
      </c>
      <c r="G120" s="14"/>
      <c r="H120" s="13"/>
      <c r="I120" s="19"/>
      <c r="J120" s="37"/>
    </row>
    <row r="121" spans="1:10" ht="16.5" customHeight="1">
      <c r="A121" s="12">
        <f>A$32</f>
        <v>3</v>
      </c>
      <c r="B121" s="13" t="str">
        <f>B$32</f>
        <v>Equipment</v>
      </c>
      <c r="C121" s="13"/>
      <c r="D121" s="61"/>
      <c r="E121" s="62"/>
      <c r="F121" s="62">
        <f>F$39</f>
        <v>980.22931200000005</v>
      </c>
      <c r="G121" s="14"/>
      <c r="H121" s="13"/>
      <c r="I121" s="19"/>
      <c r="J121" s="37"/>
    </row>
    <row r="122" spans="1:10" ht="16.5" hidden="1" customHeight="1">
      <c r="A122" s="43">
        <f>A$41</f>
        <v>4</v>
      </c>
      <c r="B122" s="11" t="str">
        <f>B$41</f>
        <v xml:space="preserve">Spillway </v>
      </c>
      <c r="E122" s="66"/>
      <c r="F122" s="66">
        <f>F$47</f>
        <v>0</v>
      </c>
      <c r="G122" s="44"/>
      <c r="I122" s="19"/>
      <c r="J122" s="37"/>
    </row>
    <row r="123" spans="1:10" ht="16.5" hidden="1" customHeight="1">
      <c r="A123" s="43">
        <f>A$49</f>
        <v>5</v>
      </c>
      <c r="B123" s="11" t="str">
        <f>B$49</f>
        <v>East (left) Dike</v>
      </c>
      <c r="E123" s="66"/>
      <c r="F123" s="66">
        <f>F$56</f>
        <v>0</v>
      </c>
      <c r="G123" s="33"/>
      <c r="I123" s="19"/>
      <c r="J123" s="37"/>
    </row>
    <row r="124" spans="1:10" ht="16.5" hidden="1" customHeight="1">
      <c r="A124" s="43">
        <f>A$58</f>
        <v>5</v>
      </c>
      <c r="B124" s="11" t="str">
        <f>B$58</f>
        <v>West (right) Dike</v>
      </c>
      <c r="E124" s="66"/>
      <c r="F124" s="66">
        <f>F$65</f>
        <v>0</v>
      </c>
      <c r="G124" s="33"/>
      <c r="I124" s="19"/>
      <c r="J124" s="37"/>
    </row>
    <row r="125" spans="1:10" ht="16.5" hidden="1" customHeight="1">
      <c r="A125" s="43">
        <f>A$67</f>
        <v>7</v>
      </c>
      <c r="B125" s="11" t="str">
        <f>B$67</f>
        <v>Canal</v>
      </c>
      <c r="E125" s="66"/>
      <c r="F125" s="66">
        <f>F$73</f>
        <v>0</v>
      </c>
      <c r="G125" s="33"/>
      <c r="I125" s="19"/>
      <c r="J125" s="37"/>
    </row>
    <row r="126" spans="1:10" ht="16.5" customHeight="1">
      <c r="A126" s="43">
        <f>A$75</f>
        <v>8</v>
      </c>
      <c r="B126" s="11" t="str">
        <f>B$75</f>
        <v>PM&amp;E Measures</v>
      </c>
      <c r="E126" s="66"/>
      <c r="F126" s="66">
        <f>F$82</f>
        <v>157.5</v>
      </c>
      <c r="G126" s="33"/>
      <c r="I126" s="19"/>
      <c r="J126" s="37"/>
    </row>
    <row r="127" spans="1:10" ht="16.5" customHeight="1">
      <c r="A127" s="43">
        <f>A$84</f>
        <v>9</v>
      </c>
      <c r="B127" s="176" t="s">
        <v>247</v>
      </c>
      <c r="E127" s="66"/>
      <c r="F127" s="66">
        <f>F$91</f>
        <v>487.5</v>
      </c>
      <c r="G127" s="33"/>
      <c r="I127" s="19"/>
      <c r="J127" s="37"/>
    </row>
    <row r="128" spans="1:10" ht="16.5" customHeight="1">
      <c r="A128" s="43">
        <f>A$93</f>
        <v>10</v>
      </c>
      <c r="B128" s="11" t="str">
        <f>B$93</f>
        <v>Land &amp; Land Rights</v>
      </c>
      <c r="E128" s="66"/>
      <c r="F128" s="66">
        <f>F$99</f>
        <v>40</v>
      </c>
      <c r="G128" s="33"/>
      <c r="I128" s="19"/>
      <c r="J128" s="37"/>
    </row>
    <row r="129" spans="1:10" ht="16.5" customHeight="1">
      <c r="A129" s="45">
        <f>A$101</f>
        <v>11</v>
      </c>
      <c r="B129" s="46" t="str">
        <f>B$101</f>
        <v>Interconnection</v>
      </c>
      <c r="C129" s="46"/>
      <c r="D129" s="70"/>
      <c r="E129" s="71"/>
      <c r="F129" s="71">
        <f>F$107</f>
        <v>138.19999999999999</v>
      </c>
      <c r="G129" s="47"/>
      <c r="H129" s="183"/>
      <c r="I129" s="19"/>
      <c r="J129" s="37"/>
    </row>
    <row r="130" spans="1:10" ht="16.5" customHeight="1">
      <c r="A130" s="43"/>
      <c r="B130" s="48" t="s">
        <v>87</v>
      </c>
      <c r="C130" s="48"/>
      <c r="E130" s="66"/>
      <c r="F130" s="66">
        <f>SUM(F119:F129)</f>
        <v>4026.0643514581157</v>
      </c>
      <c r="G130" s="33"/>
      <c r="I130" s="19"/>
      <c r="J130" s="37"/>
    </row>
    <row r="131" spans="1:10" ht="16.5" customHeight="1">
      <c r="A131" s="43"/>
      <c r="B131" s="48"/>
      <c r="C131" s="48"/>
      <c r="E131" s="66"/>
      <c r="F131" s="66"/>
      <c r="G131" s="33"/>
      <c r="I131" s="19"/>
      <c r="J131" s="37"/>
    </row>
    <row r="132" spans="1:10" ht="16.5" customHeight="1">
      <c r="A132" s="45">
        <f>A$109</f>
        <v>12</v>
      </c>
      <c r="B132" s="46" t="str">
        <f>B$109</f>
        <v>Indirect Costs</v>
      </c>
      <c r="C132" s="46"/>
      <c r="D132" s="70"/>
      <c r="E132" s="71"/>
      <c r="F132" s="71">
        <f>F$116</f>
        <v>502.08514811664924</v>
      </c>
      <c r="G132" s="47"/>
      <c r="H132" s="46"/>
      <c r="I132" s="19"/>
      <c r="J132" s="37"/>
    </row>
    <row r="133" spans="1:10" ht="16.5" customHeight="1">
      <c r="A133" s="43"/>
      <c r="B133" s="48" t="s">
        <v>88</v>
      </c>
      <c r="C133" s="48"/>
      <c r="E133" s="66"/>
      <c r="F133" s="72">
        <f>F$130+F$132</f>
        <v>4528.1494995747653</v>
      </c>
      <c r="G133" s="49"/>
      <c r="I133" s="19"/>
      <c r="J133" s="37"/>
    </row>
    <row r="134" spans="1:10" ht="16.5" customHeight="1">
      <c r="A134" s="43"/>
      <c r="B134" s="48"/>
      <c r="C134" s="48"/>
      <c r="E134" s="66"/>
      <c r="F134" s="72"/>
      <c r="G134" s="49"/>
      <c r="I134" s="19"/>
      <c r="J134" s="37"/>
    </row>
    <row r="135" spans="1:10" ht="16.5" customHeight="1">
      <c r="A135" s="45">
        <v>13</v>
      </c>
      <c r="B135" s="46" t="s">
        <v>89</v>
      </c>
      <c r="C135" s="46"/>
      <c r="D135" s="73">
        <f>F$133*1000</f>
        <v>4528149.4995747656</v>
      </c>
      <c r="E135" s="245">
        <v>0.2</v>
      </c>
      <c r="F135" s="71">
        <f>D135*E135*0.001</f>
        <v>905.62989991495317</v>
      </c>
      <c r="G135" s="47"/>
      <c r="H135" s="46"/>
      <c r="I135" s="19"/>
      <c r="J135" s="37"/>
    </row>
    <row r="136" spans="1:10" ht="16.5" customHeight="1">
      <c r="E136" s="66"/>
      <c r="F136" s="66"/>
      <c r="G136" s="33"/>
      <c r="I136" s="19"/>
      <c r="J136" s="37"/>
    </row>
    <row r="137" spans="1:10" ht="16.5" customHeight="1">
      <c r="A137" s="12"/>
      <c r="B137" s="50" t="s">
        <v>90</v>
      </c>
      <c r="C137" s="7"/>
      <c r="D137" s="61"/>
      <c r="E137" s="62"/>
      <c r="F137" s="60">
        <f>F$133+F$135</f>
        <v>5433.7793994897183</v>
      </c>
      <c r="G137" s="8"/>
      <c r="H137" s="13"/>
      <c r="I137" s="19"/>
      <c r="J137" s="37"/>
    </row>
    <row r="138" spans="1:10">
      <c r="I138" s="19"/>
      <c r="J138" s="37"/>
    </row>
    <row r="139" spans="1:10">
      <c r="I139" s="19"/>
      <c r="J139" s="37"/>
    </row>
    <row r="140" spans="1:10">
      <c r="I140" s="19"/>
      <c r="J140" s="37"/>
    </row>
    <row r="141" spans="1:10">
      <c r="I141" s="19"/>
      <c r="J141" s="37"/>
    </row>
    <row r="142" spans="1:10">
      <c r="I142" s="19"/>
      <c r="J142" s="37"/>
    </row>
    <row r="143" spans="1:10">
      <c r="I143" s="19"/>
      <c r="J143" s="37"/>
    </row>
    <row r="144" spans="1:10">
      <c r="I144" s="19"/>
      <c r="J144" s="37"/>
    </row>
    <row r="145" spans="9:10">
      <c r="I145" s="19"/>
      <c r="J145" s="37"/>
    </row>
    <row r="146" spans="9:10">
      <c r="I146" s="19"/>
      <c r="J146" s="37"/>
    </row>
    <row r="147" spans="9:10">
      <c r="I147" s="19"/>
      <c r="J147" s="37"/>
    </row>
    <row r="148" spans="9:10">
      <c r="I148" s="19"/>
      <c r="J148" s="37"/>
    </row>
    <row r="149" spans="9:10">
      <c r="I149" s="19"/>
      <c r="J149" s="37"/>
    </row>
    <row r="150" spans="9:10">
      <c r="I150" s="19"/>
      <c r="J150" s="37"/>
    </row>
    <row r="151" spans="9:10">
      <c r="I151" s="19"/>
      <c r="J151" s="37"/>
    </row>
    <row r="152" spans="9:10">
      <c r="I152" s="19"/>
      <c r="J152" s="37"/>
    </row>
    <row r="153" spans="9:10">
      <c r="I153" s="19"/>
      <c r="J153" s="37"/>
    </row>
    <row r="154" spans="9:10">
      <c r="I154" s="19"/>
      <c r="J154" s="37"/>
    </row>
    <row r="155" spans="9:10">
      <c r="I155" s="19"/>
      <c r="J155" s="37"/>
    </row>
    <row r="156" spans="9:10">
      <c r="I156" s="19"/>
      <c r="J156" s="37"/>
    </row>
    <row r="157" spans="9:10">
      <c r="I157" s="19"/>
      <c r="J157" s="37"/>
    </row>
    <row r="158" spans="9:10">
      <c r="I158" s="19"/>
      <c r="J158" s="37"/>
    </row>
    <row r="159" spans="9:10">
      <c r="I159" s="19"/>
      <c r="J159" s="37"/>
    </row>
    <row r="160" spans="9:10">
      <c r="I160" s="19"/>
      <c r="J160" s="37"/>
    </row>
    <row r="161" spans="9:10">
      <c r="I161" s="19"/>
      <c r="J161" s="37"/>
    </row>
    <row r="162" spans="9:10">
      <c r="I162" s="19"/>
      <c r="J162" s="37"/>
    </row>
    <row r="163" spans="9:10">
      <c r="I163" s="19"/>
      <c r="J163" s="37"/>
    </row>
    <row r="164" spans="9:10">
      <c r="I164" s="19"/>
      <c r="J164" s="37"/>
    </row>
    <row r="165" spans="9:10">
      <c r="I165" s="19"/>
      <c r="J165" s="37"/>
    </row>
    <row r="166" spans="9:10">
      <c r="I166" s="19"/>
      <c r="J166" s="37"/>
    </row>
    <row r="167" spans="9:10">
      <c r="I167" s="19"/>
      <c r="J167" s="37"/>
    </row>
    <row r="168" spans="9:10">
      <c r="I168" s="19"/>
      <c r="J168" s="37"/>
    </row>
    <row r="169" spans="9:10">
      <c r="I169" s="19"/>
      <c r="J169" s="37"/>
    </row>
    <row r="170" spans="9:10">
      <c r="I170" s="19"/>
      <c r="J170" s="37"/>
    </row>
    <row r="171" spans="9:10">
      <c r="I171" s="19"/>
      <c r="J171" s="37"/>
    </row>
    <row r="172" spans="9:10">
      <c r="I172" s="19"/>
      <c r="J172" s="37"/>
    </row>
    <row r="173" spans="9:10">
      <c r="I173" s="19"/>
      <c r="J173" s="37"/>
    </row>
    <row r="174" spans="9:10">
      <c r="I174" s="19"/>
      <c r="J174" s="37"/>
    </row>
  </sheetData>
  <mergeCells count="1">
    <mergeCell ref="L3:S11"/>
  </mergeCells>
  <conditionalFormatting sqref="I24:N65536 I3:I5 I17:I22 N12:N22 L3 I7:I15 K18:L22 M20:M22 K5 K8:K15 L12:M15">
    <cfRule type="cellIs" dxfId="20" priority="1" stopIfTrue="1" operator="equal">
      <formula>0</formula>
    </cfRule>
  </conditionalFormatting>
  <printOptions horizontalCentered="1" gridLines="1"/>
  <pageMargins left="0.75" right="0.75" top="0.63" bottom="0.63" header="0.32" footer="0.45"/>
  <pageSetup scale="59" fitToHeight="2" orientation="portrait" r:id="rId1"/>
  <headerFooter alignWithMargins="0">
    <oddHeader>&amp;L&amp;"Arial,Bold Italic"&amp;11&amp;A&amp;C&amp;"Arial,Bold Italic"&amp;11Ten Mile River Hydro
Phase I Feasibility Study&amp;R&amp;"Arial,Bold Italic"&amp;11For Planning Purposes Only</oddHeader>
    <oddFooter>&amp;L&amp;F&amp;R&amp;G</oddFooter>
  </headerFooter>
  <rowBreaks count="1" manualBreakCount="1">
    <brk id="92" max="7" man="1"/>
  </rowBreaks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5"/>
  </sheetPr>
  <dimension ref="A1:S174"/>
  <sheetViews>
    <sheetView view="pageBreakPreview" topLeftCell="A38" zoomScale="75" zoomScaleNormal="80" zoomScaleSheetLayoutView="75" workbookViewId="0">
      <selection activeCell="H11" sqref="H11"/>
    </sheetView>
  </sheetViews>
  <sheetFormatPr defaultRowHeight="12.75"/>
  <cols>
    <col min="1" max="1" width="4.85546875" style="11" customWidth="1"/>
    <col min="2" max="2" width="32.5703125" style="11" customWidth="1"/>
    <col min="3" max="3" width="9.140625" style="11"/>
    <col min="4" max="4" width="12.42578125" style="69" customWidth="1"/>
    <col min="5" max="5" width="9.42578125" style="69" customWidth="1"/>
    <col min="6" max="6" width="12.85546875" style="69" customWidth="1"/>
    <col min="7" max="7" width="3.140625" style="11" customWidth="1"/>
    <col min="8" max="8" width="60.7109375" style="11" customWidth="1"/>
    <col min="9" max="9" width="4.85546875" style="11" customWidth="1"/>
    <col min="10" max="10" width="12.28515625" style="51" customWidth="1"/>
    <col min="11" max="11" width="12.42578125" style="10" customWidth="1"/>
    <col min="12" max="12" width="12.5703125" style="10" customWidth="1"/>
    <col min="13" max="14" width="9.140625" style="10"/>
    <col min="15" max="16384" width="9.140625" style="11"/>
  </cols>
  <sheetData>
    <row r="1" spans="1:19" ht="25.5">
      <c r="A1" s="7" t="s">
        <v>0</v>
      </c>
      <c r="B1" s="7" t="s">
        <v>1</v>
      </c>
      <c r="C1" s="7" t="s">
        <v>2</v>
      </c>
      <c r="D1" s="12" t="s">
        <v>3</v>
      </c>
      <c r="E1" s="60" t="s">
        <v>4</v>
      </c>
      <c r="F1" s="60" t="s">
        <v>5</v>
      </c>
      <c r="G1" s="8"/>
      <c r="H1" s="7" t="s">
        <v>6</v>
      </c>
      <c r="I1" s="7"/>
      <c r="J1" s="9"/>
      <c r="L1" s="10" t="s">
        <v>270</v>
      </c>
    </row>
    <row r="2" spans="1:19" ht="16.5" customHeight="1">
      <c r="A2" s="12">
        <v>1</v>
      </c>
      <c r="B2" s="7" t="s">
        <v>7</v>
      </c>
      <c r="C2" s="7"/>
      <c r="D2" s="61"/>
      <c r="E2" s="62"/>
      <c r="F2" s="62"/>
      <c r="G2" s="14"/>
      <c r="H2" s="13"/>
      <c r="I2" s="15"/>
      <c r="J2" s="16"/>
      <c r="K2" s="170"/>
      <c r="M2" s="17"/>
      <c r="N2" s="17"/>
      <c r="O2" s="18"/>
      <c r="P2" s="18"/>
    </row>
    <row r="3" spans="1:19" ht="16.5" customHeight="1">
      <c r="A3" s="19" t="s">
        <v>8</v>
      </c>
      <c r="B3" s="20" t="s">
        <v>9</v>
      </c>
      <c r="C3" s="20"/>
      <c r="D3" s="61">
        <v>1</v>
      </c>
      <c r="E3" s="62">
        <v>25000</v>
      </c>
      <c r="F3" s="62">
        <f>0.001*D3*E3</f>
        <v>25</v>
      </c>
      <c r="G3" s="14"/>
      <c r="H3" s="13" t="s">
        <v>10</v>
      </c>
      <c r="I3" s="21"/>
      <c r="J3" s="22"/>
      <c r="L3" s="374" t="s">
        <v>293</v>
      </c>
      <c r="M3" s="374"/>
      <c r="N3" s="374"/>
      <c r="O3" s="374"/>
      <c r="P3" s="374"/>
      <c r="Q3" s="374"/>
      <c r="R3" s="374"/>
      <c r="S3" s="374"/>
    </row>
    <row r="4" spans="1:19" ht="16.5" customHeight="1">
      <c r="A4" s="19" t="s">
        <v>11</v>
      </c>
      <c r="B4" s="20" t="s">
        <v>12</v>
      </c>
      <c r="C4" s="20"/>
      <c r="D4" s="61">
        <v>1</v>
      </c>
      <c r="E4" s="62">
        <v>10000</v>
      </c>
      <c r="F4" s="62">
        <f>0.001*D4*E4</f>
        <v>10</v>
      </c>
      <c r="G4" s="14"/>
      <c r="H4" s="13" t="s">
        <v>10</v>
      </c>
      <c r="I4" s="21"/>
      <c r="J4" s="22"/>
      <c r="K4" s="140"/>
      <c r="L4" s="374"/>
      <c r="M4" s="374"/>
      <c r="N4" s="374"/>
      <c r="O4" s="374"/>
      <c r="P4" s="374"/>
      <c r="Q4" s="374"/>
      <c r="R4" s="374"/>
      <c r="S4" s="374"/>
    </row>
    <row r="5" spans="1:19" ht="18.75" customHeight="1">
      <c r="A5" s="19" t="s">
        <v>13</v>
      </c>
      <c r="B5" s="23" t="s">
        <v>14</v>
      </c>
      <c r="C5" s="23" t="s">
        <v>15</v>
      </c>
      <c r="D5" s="61">
        <v>4</v>
      </c>
      <c r="E5" s="62">
        <v>8000</v>
      </c>
      <c r="F5" s="62">
        <f>0.001*D5*E5</f>
        <v>32</v>
      </c>
      <c r="G5" s="14"/>
      <c r="H5" s="142" t="s">
        <v>285</v>
      </c>
      <c r="I5" s="21"/>
      <c r="J5" s="22"/>
      <c r="K5" s="17"/>
      <c r="L5" s="374"/>
      <c r="M5" s="374"/>
      <c r="N5" s="374"/>
      <c r="O5" s="374"/>
      <c r="P5" s="374"/>
      <c r="Q5" s="374"/>
      <c r="R5" s="374"/>
      <c r="S5" s="374"/>
    </row>
    <row r="6" spans="1:19" ht="16.5" customHeight="1">
      <c r="A6" s="19" t="s">
        <v>16</v>
      </c>
      <c r="B6" s="23" t="s">
        <v>17</v>
      </c>
      <c r="C6" s="23" t="s">
        <v>18</v>
      </c>
      <c r="D6" s="61">
        <v>2000</v>
      </c>
      <c r="E6" s="62">
        <v>10</v>
      </c>
      <c r="F6" s="62">
        <f>0.001*D6*E6</f>
        <v>20</v>
      </c>
      <c r="G6" s="14"/>
      <c r="H6" s="142" t="s">
        <v>285</v>
      </c>
      <c r="I6" s="18"/>
      <c r="J6" s="24"/>
      <c r="K6" s="25"/>
      <c r="L6" s="374"/>
      <c r="M6" s="374"/>
      <c r="N6" s="374"/>
      <c r="O6" s="374"/>
      <c r="P6" s="374"/>
      <c r="Q6" s="374"/>
      <c r="R6" s="374"/>
      <c r="S6" s="374"/>
    </row>
    <row r="7" spans="1:19" ht="16.5" customHeight="1">
      <c r="A7" s="26" t="s">
        <v>19</v>
      </c>
      <c r="B7" s="27" t="s">
        <v>151</v>
      </c>
      <c r="C7" s="27"/>
      <c r="D7" s="184">
        <v>1</v>
      </c>
      <c r="E7" s="64">
        <f>('Phase I Dam Repairs'!D3+'Phase I Dam Repairs'!D4)*1000</f>
        <v>90000</v>
      </c>
      <c r="F7" s="64">
        <f>0.001*D7*E7</f>
        <v>90</v>
      </c>
      <c r="G7" s="29"/>
      <c r="H7" s="238" t="s">
        <v>286</v>
      </c>
      <c r="I7" s="21"/>
      <c r="J7" s="22"/>
      <c r="K7" s="30"/>
      <c r="L7" s="374"/>
      <c r="M7" s="374"/>
      <c r="N7" s="374"/>
      <c r="O7" s="374"/>
      <c r="P7" s="374"/>
      <c r="Q7" s="374"/>
      <c r="R7" s="374"/>
      <c r="S7" s="374"/>
    </row>
    <row r="8" spans="1:19" ht="16.5" customHeight="1">
      <c r="A8" s="19" t="s">
        <v>21</v>
      </c>
      <c r="B8" s="19" t="s">
        <v>22</v>
      </c>
      <c r="C8" s="19"/>
      <c r="D8" s="61"/>
      <c r="E8" s="62"/>
      <c r="F8" s="62">
        <f>SUM(F2:F7)</f>
        <v>177</v>
      </c>
      <c r="G8" s="14"/>
      <c r="H8" s="13"/>
      <c r="I8" s="21"/>
      <c r="J8" s="22"/>
      <c r="K8" s="31"/>
      <c r="L8" s="374"/>
      <c r="M8" s="374"/>
      <c r="N8" s="374"/>
      <c r="O8" s="374"/>
      <c r="P8" s="374"/>
      <c r="Q8" s="374"/>
      <c r="R8" s="374"/>
      <c r="S8" s="374"/>
    </row>
    <row r="9" spans="1:19" ht="16.5" customHeight="1">
      <c r="A9" s="19"/>
      <c r="B9" s="13"/>
      <c r="C9" s="13"/>
      <c r="D9" s="61"/>
      <c r="E9" s="62"/>
      <c r="F9" s="62"/>
      <c r="G9" s="14"/>
      <c r="H9" s="13"/>
      <c r="I9" s="21"/>
      <c r="J9" s="22"/>
      <c r="K9" s="31"/>
      <c r="L9" s="374"/>
      <c r="M9" s="374"/>
      <c r="N9" s="374"/>
      <c r="O9" s="374"/>
      <c r="P9" s="374"/>
      <c r="Q9" s="374"/>
      <c r="R9" s="374"/>
      <c r="S9" s="374"/>
    </row>
    <row r="10" spans="1:19" ht="16.5" customHeight="1">
      <c r="A10" s="12">
        <v>2</v>
      </c>
      <c r="B10" s="7" t="s">
        <v>130</v>
      </c>
      <c r="C10" s="7"/>
      <c r="D10" s="65"/>
      <c r="E10" s="62"/>
      <c r="F10" s="62"/>
      <c r="G10" s="14"/>
      <c r="H10" s="13"/>
      <c r="I10" s="21"/>
      <c r="J10" s="22"/>
      <c r="K10" s="31"/>
      <c r="L10" s="374"/>
      <c r="M10" s="374"/>
      <c r="N10" s="374"/>
      <c r="O10" s="374"/>
      <c r="P10" s="374"/>
      <c r="Q10" s="374"/>
      <c r="R10" s="374"/>
      <c r="S10" s="374"/>
    </row>
    <row r="11" spans="1:19" ht="16.5" customHeight="1">
      <c r="A11" s="19" t="s">
        <v>8</v>
      </c>
      <c r="B11" s="20" t="s">
        <v>114</v>
      </c>
      <c r="C11" s="32"/>
      <c r="D11" s="66"/>
      <c r="E11" s="62"/>
      <c r="F11" s="62">
        <v>100</v>
      </c>
      <c r="G11" s="14"/>
      <c r="H11" s="13" t="s">
        <v>10</v>
      </c>
      <c r="I11" s="21"/>
      <c r="J11" s="22"/>
      <c r="K11" s="31"/>
      <c r="L11" s="374"/>
      <c r="M11" s="374"/>
      <c r="N11" s="374"/>
      <c r="O11" s="374"/>
      <c r="P11" s="374"/>
      <c r="Q11" s="374"/>
      <c r="R11" s="374"/>
      <c r="S11" s="374"/>
    </row>
    <row r="12" spans="1:19" ht="16.5" customHeight="1">
      <c r="A12" s="19" t="s">
        <v>11</v>
      </c>
      <c r="B12" s="194" t="s">
        <v>376</v>
      </c>
      <c r="C12" s="32"/>
      <c r="D12" s="66"/>
      <c r="E12" s="62"/>
      <c r="F12" s="62">
        <v>10</v>
      </c>
      <c r="G12" s="14"/>
      <c r="H12" s="13" t="s">
        <v>10</v>
      </c>
      <c r="I12" s="21"/>
      <c r="J12" s="22"/>
      <c r="K12" s="31"/>
      <c r="L12" s="31"/>
      <c r="M12" s="31"/>
      <c r="N12" s="17"/>
      <c r="O12" s="18"/>
      <c r="P12" s="18"/>
    </row>
    <row r="13" spans="1:19" ht="16.5" customHeight="1">
      <c r="A13" s="19" t="s">
        <v>13</v>
      </c>
      <c r="B13" s="194" t="s">
        <v>318</v>
      </c>
      <c r="C13" s="20"/>
      <c r="D13" s="66">
        <v>1</v>
      </c>
      <c r="E13" s="239">
        <f>'Pwrhse Cost Estimator'!D27</f>
        <v>576263.54526932142</v>
      </c>
      <c r="F13" s="62">
        <f t="shared" ref="F13:F29" si="0">0.001*D13*E13</f>
        <v>576.26354526932141</v>
      </c>
      <c r="G13" s="14"/>
      <c r="H13" s="142" t="s">
        <v>377</v>
      </c>
      <c r="I13" s="21"/>
      <c r="J13" s="22"/>
      <c r="K13" s="31"/>
      <c r="L13" s="31"/>
      <c r="M13" s="31"/>
      <c r="N13" s="17"/>
      <c r="O13" s="18"/>
      <c r="P13" s="18"/>
    </row>
    <row r="14" spans="1:19" ht="16.5" hidden="1" customHeight="1">
      <c r="A14" s="19" t="s">
        <v>25</v>
      </c>
      <c r="B14" s="34" t="s">
        <v>26</v>
      </c>
      <c r="C14" s="23" t="s">
        <v>27</v>
      </c>
      <c r="D14" s="189">
        <v>0</v>
      </c>
      <c r="E14" s="186">
        <v>100</v>
      </c>
      <c r="F14" s="186">
        <f t="shared" si="0"/>
        <v>0</v>
      </c>
      <c r="G14" s="187"/>
      <c r="H14" s="188" t="s">
        <v>156</v>
      </c>
      <c r="I14" s="21"/>
      <c r="J14" s="22"/>
      <c r="K14" s="17"/>
      <c r="L14" s="17"/>
      <c r="M14" s="17"/>
      <c r="N14" s="17"/>
      <c r="O14" s="18"/>
      <c r="P14" s="18"/>
    </row>
    <row r="15" spans="1:19" ht="27.75" hidden="1" customHeight="1">
      <c r="A15" s="19" t="s">
        <v>28</v>
      </c>
      <c r="B15" s="35" t="s">
        <v>29</v>
      </c>
      <c r="C15" s="23" t="s">
        <v>27</v>
      </c>
      <c r="D15" s="190">
        <v>0</v>
      </c>
      <c r="E15" s="186">
        <v>100</v>
      </c>
      <c r="F15" s="186">
        <f t="shared" si="0"/>
        <v>0</v>
      </c>
      <c r="G15" s="187"/>
      <c r="H15" s="188" t="s">
        <v>156</v>
      </c>
      <c r="I15" s="21"/>
      <c r="J15" s="22"/>
      <c r="K15" s="17"/>
      <c r="L15" s="17"/>
      <c r="M15" s="17"/>
      <c r="N15" s="17"/>
      <c r="O15" s="18"/>
      <c r="P15" s="18"/>
    </row>
    <row r="16" spans="1:19" ht="16.5" hidden="1" customHeight="1">
      <c r="A16" s="19" t="s">
        <v>30</v>
      </c>
      <c r="B16" s="35" t="s">
        <v>31</v>
      </c>
      <c r="C16" s="23" t="s">
        <v>27</v>
      </c>
      <c r="D16" s="190">
        <v>0</v>
      </c>
      <c r="E16" s="186">
        <v>100</v>
      </c>
      <c r="F16" s="186">
        <f t="shared" si="0"/>
        <v>0</v>
      </c>
      <c r="G16" s="187"/>
      <c r="H16" s="188" t="s">
        <v>156</v>
      </c>
      <c r="I16" s="18"/>
      <c r="J16" s="24"/>
      <c r="K16" s="25"/>
      <c r="L16" s="25"/>
      <c r="M16" s="25"/>
      <c r="N16" s="17"/>
      <c r="O16" s="18"/>
      <c r="P16" s="18"/>
    </row>
    <row r="17" spans="1:16" ht="16.5" hidden="1" customHeight="1">
      <c r="A17" s="21" t="s">
        <v>16</v>
      </c>
      <c r="B17" s="23" t="s">
        <v>32</v>
      </c>
      <c r="C17" s="23"/>
      <c r="D17" s="190">
        <v>0</v>
      </c>
      <c r="E17" s="186">
        <v>10000</v>
      </c>
      <c r="F17" s="186">
        <f t="shared" si="0"/>
        <v>0</v>
      </c>
      <c r="G17" s="187"/>
      <c r="H17" s="188" t="s">
        <v>10</v>
      </c>
      <c r="I17" s="21"/>
      <c r="J17" s="22"/>
      <c r="K17" s="30"/>
      <c r="L17" s="30"/>
      <c r="M17" s="30"/>
      <c r="N17" s="17"/>
      <c r="O17" s="18"/>
      <c r="P17" s="18"/>
    </row>
    <row r="18" spans="1:16" ht="16.5" hidden="1" customHeight="1">
      <c r="A18" s="19" t="s">
        <v>19</v>
      </c>
      <c r="B18" s="23" t="s">
        <v>33</v>
      </c>
      <c r="C18" s="23" t="s">
        <v>34</v>
      </c>
      <c r="D18" s="190">
        <v>0</v>
      </c>
      <c r="E18" s="186">
        <v>1000</v>
      </c>
      <c r="F18" s="186">
        <f t="shared" si="0"/>
        <v>0</v>
      </c>
      <c r="G18" s="187"/>
      <c r="H18" s="188" t="s">
        <v>156</v>
      </c>
      <c r="I18" s="21"/>
      <c r="J18" s="22"/>
      <c r="K18" s="31"/>
      <c r="L18" s="31"/>
      <c r="M18" s="30"/>
      <c r="N18" s="17"/>
      <c r="O18" s="18"/>
      <c r="P18" s="18"/>
    </row>
    <row r="19" spans="1:16" ht="16.5" hidden="1" customHeight="1">
      <c r="A19" s="19" t="s">
        <v>21</v>
      </c>
      <c r="B19" s="23" t="s">
        <v>57</v>
      </c>
      <c r="C19" s="23" t="s">
        <v>27</v>
      </c>
      <c r="D19" s="190">
        <v>0</v>
      </c>
      <c r="E19" s="186">
        <v>750</v>
      </c>
      <c r="F19" s="186">
        <f t="shared" si="0"/>
        <v>0</v>
      </c>
      <c r="G19" s="187"/>
      <c r="H19" s="188" t="s">
        <v>10</v>
      </c>
      <c r="I19" s="21"/>
      <c r="J19" s="22"/>
      <c r="K19" s="31"/>
      <c r="L19" s="31"/>
      <c r="M19" s="30"/>
      <c r="N19" s="17"/>
      <c r="O19" s="18"/>
      <c r="P19" s="18"/>
    </row>
    <row r="20" spans="1:16" ht="16.5" hidden="1" customHeight="1">
      <c r="A20" s="19" t="s">
        <v>35</v>
      </c>
      <c r="B20" s="23" t="s">
        <v>124</v>
      </c>
      <c r="C20" s="23" t="s">
        <v>23</v>
      </c>
      <c r="D20" s="190">
        <v>0</v>
      </c>
      <c r="E20" s="186">
        <v>100</v>
      </c>
      <c r="F20" s="186">
        <f t="shared" si="0"/>
        <v>0</v>
      </c>
      <c r="G20" s="187"/>
      <c r="H20" s="188" t="s">
        <v>157</v>
      </c>
      <c r="I20" s="21"/>
      <c r="J20" s="22"/>
      <c r="K20" s="31"/>
      <c r="L20" s="31"/>
      <c r="M20" s="31"/>
      <c r="N20" s="17"/>
      <c r="O20" s="18"/>
      <c r="P20" s="18"/>
    </row>
    <row r="21" spans="1:16" ht="16.5" hidden="1" customHeight="1">
      <c r="A21" s="19" t="s">
        <v>36</v>
      </c>
      <c r="B21" s="20" t="s">
        <v>37</v>
      </c>
      <c r="C21" s="32" t="s">
        <v>23</v>
      </c>
      <c r="D21" s="189">
        <v>0</v>
      </c>
      <c r="E21" s="186">
        <v>400</v>
      </c>
      <c r="F21" s="186">
        <f t="shared" si="0"/>
        <v>0</v>
      </c>
      <c r="G21" s="187"/>
      <c r="H21" s="188" t="s">
        <v>158</v>
      </c>
      <c r="I21" s="21"/>
      <c r="J21" s="22"/>
      <c r="K21" s="31"/>
      <c r="L21" s="31"/>
      <c r="M21" s="31"/>
      <c r="N21" s="17"/>
      <c r="O21" s="18"/>
      <c r="P21" s="18"/>
    </row>
    <row r="22" spans="1:16" ht="16.5" hidden="1" customHeight="1">
      <c r="A22" s="19" t="s">
        <v>25</v>
      </c>
      <c r="B22" s="20" t="s">
        <v>38</v>
      </c>
      <c r="C22" s="32"/>
      <c r="D22" s="66">
        <v>0</v>
      </c>
      <c r="E22" s="62">
        <v>150000</v>
      </c>
      <c r="F22" s="62">
        <f t="shared" si="0"/>
        <v>0</v>
      </c>
      <c r="G22" s="14"/>
      <c r="H22" s="36" t="s">
        <v>159</v>
      </c>
      <c r="I22" s="21"/>
      <c r="J22" s="22"/>
      <c r="K22" s="31"/>
      <c r="L22" s="31"/>
      <c r="M22" s="31"/>
      <c r="N22" s="17"/>
      <c r="O22" s="18"/>
      <c r="P22" s="18"/>
    </row>
    <row r="23" spans="1:16" ht="16.5" hidden="1" customHeight="1">
      <c r="A23" s="19" t="s">
        <v>39</v>
      </c>
      <c r="B23" s="23" t="s">
        <v>160</v>
      </c>
      <c r="C23" s="20"/>
      <c r="D23" s="61">
        <v>0</v>
      </c>
      <c r="E23" s="62">
        <v>15000</v>
      </c>
      <c r="F23" s="62">
        <f t="shared" si="0"/>
        <v>0</v>
      </c>
      <c r="G23" s="14"/>
      <c r="H23" s="36" t="s">
        <v>10</v>
      </c>
      <c r="J23" s="11"/>
      <c r="K23" s="11"/>
      <c r="L23" s="11"/>
      <c r="M23" s="11"/>
      <c r="N23" s="11"/>
    </row>
    <row r="24" spans="1:16" ht="33" customHeight="1">
      <c r="A24" s="19" t="s">
        <v>40</v>
      </c>
      <c r="B24" s="194" t="s">
        <v>292</v>
      </c>
      <c r="C24" s="194" t="s">
        <v>18</v>
      </c>
      <c r="D24" s="61">
        <v>2300</v>
      </c>
      <c r="E24" s="62">
        <f>'Penstock Costs'!G18</f>
        <v>444.61828589999988</v>
      </c>
      <c r="F24" s="62">
        <f t="shared" si="0"/>
        <v>1022.6220575699998</v>
      </c>
      <c r="G24" s="14"/>
      <c r="H24" s="142" t="s">
        <v>362</v>
      </c>
      <c r="I24" s="19"/>
      <c r="J24" s="37"/>
    </row>
    <row r="25" spans="1:16" ht="16.5" customHeight="1">
      <c r="A25" s="19" t="s">
        <v>41</v>
      </c>
      <c r="B25" s="20" t="s">
        <v>42</v>
      </c>
      <c r="C25" s="20"/>
      <c r="D25" s="61">
        <v>1</v>
      </c>
      <c r="E25" s="62">
        <v>5000</v>
      </c>
      <c r="F25" s="62">
        <f t="shared" si="0"/>
        <v>5</v>
      </c>
      <c r="G25" s="14"/>
      <c r="H25" s="13" t="s">
        <v>10</v>
      </c>
      <c r="I25" s="19"/>
      <c r="J25" s="37"/>
    </row>
    <row r="26" spans="1:16" ht="16.5" customHeight="1">
      <c r="A26" s="19" t="s">
        <v>43</v>
      </c>
      <c r="B26" s="20" t="s">
        <v>44</v>
      </c>
      <c r="C26" s="20"/>
      <c r="D26" s="61">
        <v>1</v>
      </c>
      <c r="E26" s="239">
        <v>10000</v>
      </c>
      <c r="F26" s="239">
        <f t="shared" si="0"/>
        <v>10</v>
      </c>
      <c r="G26" s="240"/>
      <c r="H26" s="142" t="s">
        <v>10</v>
      </c>
      <c r="I26" s="19"/>
      <c r="J26" s="37"/>
    </row>
    <row r="27" spans="1:16" ht="25.5" customHeight="1">
      <c r="A27" s="19" t="s">
        <v>45</v>
      </c>
      <c r="B27" s="20" t="s">
        <v>46</v>
      </c>
      <c r="C27" s="20"/>
      <c r="D27" s="61">
        <v>1</v>
      </c>
      <c r="E27" s="239">
        <v>10000</v>
      </c>
      <c r="F27" s="239">
        <f t="shared" si="0"/>
        <v>10</v>
      </c>
      <c r="G27" s="240"/>
      <c r="H27" s="142" t="s">
        <v>10</v>
      </c>
      <c r="I27" s="19"/>
      <c r="J27" s="37"/>
    </row>
    <row r="28" spans="1:16">
      <c r="A28" s="19" t="s">
        <v>47</v>
      </c>
      <c r="B28" s="20" t="s">
        <v>48</v>
      </c>
      <c r="C28" s="20"/>
      <c r="D28" s="61">
        <v>1</v>
      </c>
      <c r="E28" s="62">
        <v>5000</v>
      </c>
      <c r="F28" s="62">
        <f t="shared" si="0"/>
        <v>5</v>
      </c>
      <c r="G28" s="14"/>
      <c r="H28" s="13" t="s">
        <v>10</v>
      </c>
      <c r="I28" s="19"/>
      <c r="J28" s="37"/>
    </row>
    <row r="29" spans="1:16" ht="16.5" customHeight="1">
      <c r="A29" s="26" t="s">
        <v>49</v>
      </c>
      <c r="B29" s="192" t="s">
        <v>20</v>
      </c>
      <c r="C29" s="27"/>
      <c r="D29" s="300"/>
      <c r="E29" s="301"/>
      <c r="F29" s="301">
        <f t="shared" si="0"/>
        <v>0</v>
      </c>
      <c r="G29" s="302"/>
      <c r="H29" s="338"/>
      <c r="I29" s="19"/>
      <c r="J29" s="37"/>
    </row>
    <row r="30" spans="1:16">
      <c r="A30" s="19" t="s">
        <v>50</v>
      </c>
      <c r="B30" s="264" t="s">
        <v>385</v>
      </c>
      <c r="C30" s="19"/>
      <c r="D30" s="61"/>
      <c r="E30" s="62"/>
      <c r="F30" s="62">
        <f>SUM(F11:F29)</f>
        <v>1738.8856028393211</v>
      </c>
      <c r="G30" s="14"/>
      <c r="H30" s="13"/>
      <c r="I30" s="19"/>
      <c r="J30" s="37"/>
    </row>
    <row r="31" spans="1:16" ht="16.5" customHeight="1">
      <c r="A31" s="19"/>
      <c r="B31" s="13"/>
      <c r="C31" s="13"/>
      <c r="D31" s="61"/>
      <c r="E31" s="62"/>
      <c r="F31" s="62"/>
      <c r="G31" s="14"/>
      <c r="H31" s="13"/>
      <c r="I31" s="19"/>
      <c r="J31" s="37"/>
    </row>
    <row r="32" spans="1:16" ht="16.5" customHeight="1">
      <c r="A32" s="12">
        <v>3</v>
      </c>
      <c r="B32" s="7" t="s">
        <v>52</v>
      </c>
      <c r="C32" s="7"/>
      <c r="D32" s="61"/>
      <c r="E32" s="62"/>
      <c r="F32" s="62"/>
      <c r="G32" s="14"/>
      <c r="H32" s="13"/>
      <c r="I32" s="19"/>
      <c r="J32" s="37"/>
    </row>
    <row r="33" spans="1:10">
      <c r="A33" s="19" t="s">
        <v>8</v>
      </c>
      <c r="B33" s="194" t="s">
        <v>319</v>
      </c>
      <c r="C33" s="20"/>
      <c r="D33" s="61">
        <v>1</v>
      </c>
      <c r="E33" s="62">
        <f>'TG Costs'!D26</f>
        <v>455226.76</v>
      </c>
      <c r="F33" s="62">
        <f t="shared" ref="F33:F38" si="1">0.001*D33*E33</f>
        <v>455.22676000000001</v>
      </c>
      <c r="G33" s="14"/>
      <c r="H33" s="142" t="s">
        <v>386</v>
      </c>
      <c r="I33" s="19"/>
      <c r="J33" s="37"/>
    </row>
    <row r="34" spans="1:10" ht="20.25" customHeight="1">
      <c r="A34" s="19" t="s">
        <v>11</v>
      </c>
      <c r="B34" s="23" t="s">
        <v>161</v>
      </c>
      <c r="C34" s="20"/>
      <c r="D34" s="61">
        <v>1</v>
      </c>
      <c r="E34" s="62">
        <f>SUM(F33,F35:F38)*1000*0.2</f>
        <v>114045.35200000001</v>
      </c>
      <c r="F34" s="62">
        <f t="shared" si="1"/>
        <v>114.04535200000002</v>
      </c>
      <c r="G34" s="14"/>
      <c r="H34" s="36" t="s">
        <v>162</v>
      </c>
      <c r="I34" s="19"/>
      <c r="J34" s="37"/>
    </row>
    <row r="35" spans="1:10" ht="16.5" customHeight="1">
      <c r="A35" s="19" t="s">
        <v>13</v>
      </c>
      <c r="B35" s="20" t="s">
        <v>53</v>
      </c>
      <c r="C35" s="20"/>
      <c r="D35" s="191">
        <v>1</v>
      </c>
      <c r="E35" s="239">
        <f>'Interconnect Costs'!K10</f>
        <v>20000</v>
      </c>
      <c r="F35" s="239">
        <f t="shared" si="1"/>
        <v>20</v>
      </c>
      <c r="G35" s="240"/>
      <c r="H35" s="241" t="s">
        <v>274</v>
      </c>
      <c r="I35" s="19"/>
      <c r="J35" s="37"/>
    </row>
    <row r="36" spans="1:10" ht="16.5" customHeight="1">
      <c r="A36" s="19" t="s">
        <v>16</v>
      </c>
      <c r="B36" s="194" t="s">
        <v>320</v>
      </c>
      <c r="C36" s="20"/>
      <c r="D36" s="191">
        <v>1</v>
      </c>
      <c r="E36" s="239">
        <v>50000</v>
      </c>
      <c r="F36" s="239">
        <f t="shared" si="1"/>
        <v>50</v>
      </c>
      <c r="G36" s="240"/>
      <c r="H36" s="142" t="s">
        <v>384</v>
      </c>
      <c r="I36" s="19"/>
      <c r="J36" s="37"/>
    </row>
    <row r="37" spans="1:10">
      <c r="A37" s="19" t="s">
        <v>19</v>
      </c>
      <c r="B37" s="20" t="s">
        <v>55</v>
      </c>
      <c r="C37" s="20"/>
      <c r="D37" s="191">
        <v>1</v>
      </c>
      <c r="E37" s="239">
        <v>20000</v>
      </c>
      <c r="F37" s="239">
        <f t="shared" si="1"/>
        <v>20</v>
      </c>
      <c r="G37" s="240"/>
      <c r="H37" s="142" t="s">
        <v>10</v>
      </c>
      <c r="I37" s="19"/>
      <c r="J37" s="37"/>
    </row>
    <row r="38" spans="1:10" ht="16.5" customHeight="1">
      <c r="A38" s="26" t="s">
        <v>21</v>
      </c>
      <c r="B38" s="192" t="s">
        <v>321</v>
      </c>
      <c r="C38" s="27"/>
      <c r="D38" s="184">
        <v>1</v>
      </c>
      <c r="E38" s="64">
        <v>25000</v>
      </c>
      <c r="F38" s="64">
        <f t="shared" si="1"/>
        <v>25</v>
      </c>
      <c r="G38" s="29"/>
      <c r="H38" s="238" t="s">
        <v>10</v>
      </c>
      <c r="I38" s="19"/>
      <c r="J38" s="37"/>
    </row>
    <row r="39" spans="1:10" ht="16.5" customHeight="1">
      <c r="A39" s="19" t="s">
        <v>35</v>
      </c>
      <c r="B39" s="19" t="s">
        <v>56</v>
      </c>
      <c r="C39" s="19"/>
      <c r="D39" s="61"/>
      <c r="E39" s="62"/>
      <c r="F39" s="62">
        <f>SUM(F33:F38)</f>
        <v>684.27211199999999</v>
      </c>
      <c r="G39" s="14"/>
      <c r="H39" s="13"/>
      <c r="I39" s="19"/>
      <c r="J39" s="37"/>
    </row>
    <row r="40" spans="1:10" ht="16.5" hidden="1" customHeight="1">
      <c r="A40" s="19"/>
      <c r="B40" s="13"/>
      <c r="C40" s="13"/>
      <c r="D40" s="61"/>
      <c r="E40" s="62"/>
      <c r="F40" s="62"/>
      <c r="G40" s="14"/>
      <c r="H40" s="13"/>
      <c r="I40" s="19"/>
      <c r="J40" s="37"/>
    </row>
    <row r="41" spans="1:10" ht="16.5" hidden="1" customHeight="1">
      <c r="A41" s="12">
        <v>4</v>
      </c>
      <c r="B41" s="7" t="s">
        <v>132</v>
      </c>
      <c r="C41" s="7"/>
      <c r="D41" s="61"/>
      <c r="E41" s="62"/>
      <c r="F41" s="62"/>
      <c r="G41" s="14"/>
      <c r="H41" s="13"/>
      <c r="I41" s="19"/>
      <c r="J41" s="37"/>
    </row>
    <row r="42" spans="1:10" ht="16.5" hidden="1" customHeight="1">
      <c r="A42" s="19" t="s">
        <v>8</v>
      </c>
      <c r="B42" s="20" t="s">
        <v>133</v>
      </c>
      <c r="C42" s="23" t="s">
        <v>23</v>
      </c>
      <c r="D42" s="61"/>
      <c r="E42" s="62">
        <v>40</v>
      </c>
      <c r="F42" s="62">
        <f>0.001*D42*E42</f>
        <v>0</v>
      </c>
      <c r="G42" s="14"/>
      <c r="H42" s="13" t="s">
        <v>10</v>
      </c>
      <c r="I42" s="19"/>
      <c r="J42" s="37"/>
    </row>
    <row r="43" spans="1:10" ht="16.5" hidden="1" customHeight="1">
      <c r="A43" s="19" t="s">
        <v>11</v>
      </c>
      <c r="B43" s="20" t="s">
        <v>24</v>
      </c>
      <c r="C43" s="23" t="s">
        <v>27</v>
      </c>
      <c r="D43" s="61"/>
      <c r="E43" s="62">
        <v>15</v>
      </c>
      <c r="F43" s="62">
        <f>0.001*D43*E43</f>
        <v>0</v>
      </c>
      <c r="G43" s="14"/>
      <c r="H43" s="13" t="s">
        <v>10</v>
      </c>
      <c r="I43" s="19"/>
      <c r="J43" s="37"/>
    </row>
    <row r="44" spans="1:10" ht="16.5" hidden="1" customHeight="1">
      <c r="A44" s="19" t="s">
        <v>13</v>
      </c>
      <c r="B44" s="20" t="s">
        <v>134</v>
      </c>
      <c r="C44" s="23" t="s">
        <v>27</v>
      </c>
      <c r="D44" s="61"/>
      <c r="E44" s="62">
        <v>450</v>
      </c>
      <c r="F44" s="62">
        <f>0.001*D44*E44</f>
        <v>0</v>
      </c>
      <c r="G44" s="14"/>
      <c r="H44" s="13" t="s">
        <v>10</v>
      </c>
      <c r="I44" s="19"/>
      <c r="J44" s="37"/>
    </row>
    <row r="45" spans="1:10" hidden="1">
      <c r="A45" s="19" t="s">
        <v>16</v>
      </c>
      <c r="B45" s="20" t="s">
        <v>135</v>
      </c>
      <c r="C45" s="20"/>
      <c r="D45" s="61"/>
      <c r="E45" s="62"/>
      <c r="F45" s="62">
        <f>0.001*D45*E45</f>
        <v>0</v>
      </c>
      <c r="G45" s="14"/>
      <c r="H45" s="36"/>
      <c r="I45" s="19"/>
      <c r="J45" s="37"/>
    </row>
    <row r="46" spans="1:10" ht="16.5" hidden="1" customHeight="1">
      <c r="A46" s="26" t="s">
        <v>19</v>
      </c>
      <c r="B46" s="27" t="s">
        <v>20</v>
      </c>
      <c r="C46" s="27"/>
      <c r="D46" s="63"/>
      <c r="E46" s="64"/>
      <c r="F46" s="64">
        <f>0.001*D46*E46</f>
        <v>0</v>
      </c>
      <c r="G46" s="29"/>
      <c r="H46" s="28"/>
      <c r="I46" s="19"/>
      <c r="J46" s="37"/>
    </row>
    <row r="47" spans="1:10" ht="16.5" hidden="1" customHeight="1">
      <c r="A47" s="19" t="s">
        <v>21</v>
      </c>
      <c r="B47" s="19" t="s">
        <v>136</v>
      </c>
      <c r="C47" s="19"/>
      <c r="D47" s="61"/>
      <c r="E47" s="62"/>
      <c r="F47" s="62">
        <f>SUM(F42:F46)</f>
        <v>0</v>
      </c>
      <c r="G47" s="14"/>
      <c r="H47" s="13"/>
      <c r="I47" s="19"/>
      <c r="J47" s="37"/>
    </row>
    <row r="48" spans="1:10" ht="16.5" hidden="1" customHeight="1">
      <c r="A48" s="19"/>
      <c r="B48" s="13"/>
      <c r="C48" s="13"/>
      <c r="D48" s="61"/>
      <c r="E48" s="62"/>
      <c r="F48" s="62"/>
      <c r="G48" s="14"/>
      <c r="H48" s="13"/>
      <c r="I48" s="19"/>
      <c r="J48" s="37"/>
    </row>
    <row r="49" spans="1:10" ht="16.5" hidden="1" customHeight="1">
      <c r="A49" s="12">
        <v>5</v>
      </c>
      <c r="B49" s="7" t="s">
        <v>137</v>
      </c>
      <c r="C49" s="7"/>
      <c r="D49" s="61"/>
      <c r="E49" s="62"/>
      <c r="F49" s="62"/>
      <c r="G49" s="14"/>
      <c r="H49" s="13"/>
      <c r="I49" s="19"/>
      <c r="J49" s="37"/>
    </row>
    <row r="50" spans="1:10" ht="16.5" hidden="1" customHeight="1">
      <c r="A50" s="39" t="s">
        <v>8</v>
      </c>
      <c r="B50" s="40" t="s">
        <v>138</v>
      </c>
      <c r="C50" s="40"/>
      <c r="D50" s="61"/>
      <c r="E50" s="62">
        <v>1000</v>
      </c>
      <c r="F50" s="62">
        <f t="shared" ref="F50:F55" si="2">0.001*D50*E50</f>
        <v>0</v>
      </c>
      <c r="G50" s="14"/>
      <c r="H50" s="13" t="s">
        <v>10</v>
      </c>
      <c r="I50" s="19"/>
      <c r="J50" s="37"/>
    </row>
    <row r="51" spans="1:10" ht="16.5" hidden="1" customHeight="1">
      <c r="A51" s="39" t="s">
        <v>11</v>
      </c>
      <c r="B51" s="23" t="s">
        <v>17</v>
      </c>
      <c r="C51" s="23" t="s">
        <v>18</v>
      </c>
      <c r="D51" s="61"/>
      <c r="E51" s="62">
        <v>5</v>
      </c>
      <c r="F51" s="62">
        <f t="shared" si="2"/>
        <v>0</v>
      </c>
      <c r="G51" s="14"/>
      <c r="H51" s="13" t="s">
        <v>139</v>
      </c>
      <c r="I51" s="19"/>
      <c r="J51" s="37"/>
    </row>
    <row r="52" spans="1:10" ht="16.5" hidden="1" customHeight="1">
      <c r="A52" s="19" t="s">
        <v>13</v>
      </c>
      <c r="B52" s="41" t="s">
        <v>140</v>
      </c>
      <c r="C52" s="40" t="s">
        <v>15</v>
      </c>
      <c r="D52" s="61"/>
      <c r="E52" s="62">
        <v>6201</v>
      </c>
      <c r="F52" s="62">
        <f t="shared" si="2"/>
        <v>0</v>
      </c>
      <c r="G52" s="14"/>
      <c r="H52" s="13" t="s">
        <v>10</v>
      </c>
      <c r="I52" s="19"/>
      <c r="J52" s="37"/>
    </row>
    <row r="53" spans="1:10" ht="16.5" hidden="1" customHeight="1">
      <c r="A53" s="19" t="s">
        <v>16</v>
      </c>
      <c r="B53" s="41" t="s">
        <v>24</v>
      </c>
      <c r="C53" s="41" t="s">
        <v>27</v>
      </c>
      <c r="D53" s="67"/>
      <c r="E53" s="62">
        <v>15</v>
      </c>
      <c r="F53" s="62">
        <f t="shared" si="2"/>
        <v>0</v>
      </c>
      <c r="G53" s="14"/>
      <c r="H53" s="13" t="s">
        <v>139</v>
      </c>
      <c r="I53" s="19"/>
      <c r="J53" s="37"/>
    </row>
    <row r="54" spans="1:10" ht="16.5" hidden="1" customHeight="1">
      <c r="A54" s="19" t="s">
        <v>19</v>
      </c>
      <c r="B54" s="41" t="s">
        <v>141</v>
      </c>
      <c r="C54" s="41" t="s">
        <v>27</v>
      </c>
      <c r="D54" s="67"/>
      <c r="E54" s="62">
        <v>40</v>
      </c>
      <c r="F54" s="62">
        <f t="shared" si="2"/>
        <v>0</v>
      </c>
      <c r="G54" s="14"/>
      <c r="H54" s="13" t="s">
        <v>139</v>
      </c>
      <c r="I54" s="19"/>
      <c r="J54" s="37"/>
    </row>
    <row r="55" spans="1:10" ht="16.5" hidden="1" customHeight="1">
      <c r="A55" s="26" t="s">
        <v>21</v>
      </c>
      <c r="B55" s="27" t="s">
        <v>20</v>
      </c>
      <c r="C55" s="27"/>
      <c r="D55" s="63"/>
      <c r="E55" s="64"/>
      <c r="F55" s="64">
        <f t="shared" si="2"/>
        <v>0</v>
      </c>
      <c r="G55" s="29"/>
      <c r="H55" s="28"/>
      <c r="I55" s="19"/>
      <c r="J55" s="37"/>
    </row>
    <row r="56" spans="1:10" ht="16.5" hidden="1" customHeight="1">
      <c r="A56" s="19" t="s">
        <v>35</v>
      </c>
      <c r="B56" s="21" t="s">
        <v>142</v>
      </c>
      <c r="C56" s="21"/>
      <c r="D56" s="61"/>
      <c r="E56" s="62"/>
      <c r="F56" s="62">
        <f>SUM(F50:F55)</f>
        <v>0</v>
      </c>
      <c r="G56" s="14"/>
      <c r="H56" s="13"/>
      <c r="I56" s="19"/>
      <c r="J56" s="37"/>
    </row>
    <row r="57" spans="1:10" ht="16.5" hidden="1" customHeight="1">
      <c r="A57" s="19"/>
      <c r="B57" s="13"/>
      <c r="C57" s="13"/>
      <c r="D57" s="61"/>
      <c r="E57" s="62"/>
      <c r="F57" s="62"/>
      <c r="G57" s="14"/>
      <c r="H57" s="13"/>
      <c r="I57" s="19"/>
      <c r="J57" s="37"/>
    </row>
    <row r="58" spans="1:10" hidden="1">
      <c r="A58" s="12">
        <v>5</v>
      </c>
      <c r="B58" s="7" t="s">
        <v>143</v>
      </c>
      <c r="C58" s="7"/>
      <c r="D58" s="61"/>
      <c r="E58" s="62"/>
      <c r="F58" s="62"/>
      <c r="G58" s="14"/>
      <c r="H58" s="13"/>
      <c r="I58" s="19"/>
      <c r="J58" s="37"/>
    </row>
    <row r="59" spans="1:10" ht="16.5" hidden="1" customHeight="1">
      <c r="A59" s="39" t="s">
        <v>8</v>
      </c>
      <c r="B59" s="40" t="s">
        <v>138</v>
      </c>
      <c r="C59" s="40"/>
      <c r="D59" s="61"/>
      <c r="E59" s="62">
        <v>1000</v>
      </c>
      <c r="F59" s="62">
        <f t="shared" ref="F59:F64" si="3">0.001*D59*E59</f>
        <v>0</v>
      </c>
      <c r="G59" s="14"/>
      <c r="H59" s="13" t="s">
        <v>10</v>
      </c>
      <c r="I59" s="19"/>
      <c r="J59" s="37"/>
    </row>
    <row r="60" spans="1:10" ht="16.5" hidden="1" customHeight="1">
      <c r="A60" s="39" t="s">
        <v>11</v>
      </c>
      <c r="B60" s="23" t="s">
        <v>17</v>
      </c>
      <c r="C60" s="23" t="s">
        <v>18</v>
      </c>
      <c r="D60" s="61"/>
      <c r="E60" s="62">
        <v>5</v>
      </c>
      <c r="F60" s="62">
        <f t="shared" si="3"/>
        <v>0</v>
      </c>
      <c r="G60" s="14"/>
      <c r="H60" s="13" t="s">
        <v>139</v>
      </c>
      <c r="I60" s="19"/>
      <c r="J60" s="37"/>
    </row>
    <row r="61" spans="1:10" ht="16.5" hidden="1" customHeight="1">
      <c r="A61" s="19" t="s">
        <v>13</v>
      </c>
      <c r="B61" s="41" t="s">
        <v>140</v>
      </c>
      <c r="C61" s="40" t="s">
        <v>15</v>
      </c>
      <c r="D61" s="61"/>
      <c r="E61" s="62">
        <v>6201</v>
      </c>
      <c r="F61" s="62">
        <f t="shared" si="3"/>
        <v>0</v>
      </c>
      <c r="G61" s="14"/>
      <c r="H61" s="13" t="s">
        <v>10</v>
      </c>
      <c r="I61" s="19"/>
      <c r="J61" s="37"/>
    </row>
    <row r="62" spans="1:10" ht="16.5" hidden="1" customHeight="1">
      <c r="A62" s="19" t="s">
        <v>16</v>
      </c>
      <c r="B62" s="41" t="s">
        <v>24</v>
      </c>
      <c r="C62" s="41" t="s">
        <v>27</v>
      </c>
      <c r="D62" s="67"/>
      <c r="E62" s="62">
        <v>15</v>
      </c>
      <c r="F62" s="62">
        <f t="shared" si="3"/>
        <v>0</v>
      </c>
      <c r="G62" s="14"/>
      <c r="H62" s="13" t="s">
        <v>139</v>
      </c>
      <c r="I62" s="19"/>
      <c r="J62" s="37"/>
    </row>
    <row r="63" spans="1:10" hidden="1">
      <c r="A63" s="19" t="s">
        <v>19</v>
      </c>
      <c r="B63" s="41" t="s">
        <v>141</v>
      </c>
      <c r="C63" s="41" t="s">
        <v>27</v>
      </c>
      <c r="D63" s="67"/>
      <c r="E63" s="62">
        <v>40</v>
      </c>
      <c r="F63" s="62">
        <f t="shared" si="3"/>
        <v>0</v>
      </c>
      <c r="G63" s="14"/>
      <c r="H63" s="13" t="s">
        <v>139</v>
      </c>
      <c r="I63" s="19"/>
      <c r="J63" s="37"/>
    </row>
    <row r="64" spans="1:10" ht="16.5" hidden="1" customHeight="1">
      <c r="A64" s="26" t="s">
        <v>21</v>
      </c>
      <c r="B64" s="27" t="s">
        <v>20</v>
      </c>
      <c r="C64" s="27"/>
      <c r="D64" s="63"/>
      <c r="E64" s="64"/>
      <c r="F64" s="64">
        <f t="shared" si="3"/>
        <v>0</v>
      </c>
      <c r="G64" s="29"/>
      <c r="H64" s="28"/>
      <c r="I64" s="19"/>
      <c r="J64" s="37"/>
    </row>
    <row r="65" spans="1:10" ht="16.5" hidden="1" customHeight="1">
      <c r="A65" s="19" t="s">
        <v>35</v>
      </c>
      <c r="B65" s="21" t="s">
        <v>144</v>
      </c>
      <c r="C65" s="21"/>
      <c r="D65" s="61"/>
      <c r="E65" s="62"/>
      <c r="F65" s="62">
        <f>SUM(F59:F64)</f>
        <v>0</v>
      </c>
      <c r="G65" s="14"/>
      <c r="H65" s="13"/>
      <c r="I65" s="19"/>
      <c r="J65" s="37"/>
    </row>
    <row r="66" spans="1:10" ht="16.5" hidden="1" customHeight="1">
      <c r="A66" s="19"/>
      <c r="B66" s="13"/>
      <c r="C66" s="13"/>
      <c r="D66" s="61"/>
      <c r="E66" s="62"/>
      <c r="F66" s="62"/>
      <c r="G66" s="14"/>
      <c r="H66" s="13"/>
      <c r="I66" s="19"/>
      <c r="J66" s="37"/>
    </row>
    <row r="67" spans="1:10" ht="16.5" hidden="1" customHeight="1">
      <c r="A67" s="12">
        <v>7</v>
      </c>
      <c r="B67" s="7" t="s">
        <v>145</v>
      </c>
      <c r="C67" s="7"/>
      <c r="D67" s="61"/>
      <c r="E67" s="62"/>
      <c r="F67" s="62"/>
      <c r="G67" s="14"/>
      <c r="H67" s="13"/>
      <c r="I67" s="19"/>
      <c r="J67" s="37"/>
    </row>
    <row r="68" spans="1:10" ht="16.5" hidden="1" customHeight="1">
      <c r="A68" s="19" t="s">
        <v>8</v>
      </c>
      <c r="B68" s="41" t="s">
        <v>140</v>
      </c>
      <c r="C68" s="41" t="s">
        <v>15</v>
      </c>
      <c r="D68" s="61"/>
      <c r="E68" s="62">
        <v>6200</v>
      </c>
      <c r="F68" s="62">
        <f>0.001*D68*E68</f>
        <v>0</v>
      </c>
      <c r="G68" s="14"/>
      <c r="H68" s="13" t="s">
        <v>10</v>
      </c>
      <c r="I68" s="19"/>
      <c r="J68" s="37"/>
    </row>
    <row r="69" spans="1:10" ht="16.5" hidden="1" customHeight="1">
      <c r="A69" s="19" t="s">
        <v>11</v>
      </c>
      <c r="B69" s="40" t="s">
        <v>24</v>
      </c>
      <c r="C69" s="40" t="s">
        <v>27</v>
      </c>
      <c r="D69" s="67"/>
      <c r="E69" s="62">
        <v>20</v>
      </c>
      <c r="F69" s="62">
        <f>0.001*D69*E69</f>
        <v>0</v>
      </c>
      <c r="G69" s="14"/>
      <c r="H69" s="13" t="s">
        <v>146</v>
      </c>
      <c r="I69" s="19"/>
      <c r="J69" s="37"/>
    </row>
    <row r="70" spans="1:10" hidden="1">
      <c r="A70" s="19" t="s">
        <v>13</v>
      </c>
      <c r="B70" s="20" t="s">
        <v>147</v>
      </c>
      <c r="C70" s="20" t="s">
        <v>27</v>
      </c>
      <c r="D70" s="67"/>
      <c r="E70" s="62">
        <v>40</v>
      </c>
      <c r="F70" s="62">
        <f>0.001*D70*E70</f>
        <v>0</v>
      </c>
      <c r="G70" s="14"/>
      <c r="H70" s="13" t="s">
        <v>146</v>
      </c>
      <c r="I70" s="19"/>
      <c r="J70" s="37"/>
    </row>
    <row r="71" spans="1:10" ht="16.5" hidden="1" customHeight="1">
      <c r="A71" s="19" t="s">
        <v>16</v>
      </c>
      <c r="B71" s="20" t="s">
        <v>57</v>
      </c>
      <c r="C71" s="20" t="s">
        <v>27</v>
      </c>
      <c r="D71" s="61"/>
      <c r="E71" s="62">
        <v>450</v>
      </c>
      <c r="F71" s="62">
        <f>0.001*D71*E71</f>
        <v>0</v>
      </c>
      <c r="G71" s="14"/>
      <c r="H71" s="13" t="s">
        <v>10</v>
      </c>
      <c r="I71" s="19"/>
      <c r="J71" s="37"/>
    </row>
    <row r="72" spans="1:10" ht="16.5" hidden="1" customHeight="1">
      <c r="A72" s="26" t="s">
        <v>16</v>
      </c>
      <c r="B72" s="27" t="s">
        <v>20</v>
      </c>
      <c r="C72" s="27"/>
      <c r="D72" s="63"/>
      <c r="E72" s="64"/>
      <c r="F72" s="64">
        <f>0.001*D72*E72</f>
        <v>0</v>
      </c>
      <c r="G72" s="29"/>
      <c r="H72" s="28"/>
      <c r="I72" s="19"/>
      <c r="J72" s="37"/>
    </row>
    <row r="73" spans="1:10" ht="16.5" hidden="1" customHeight="1">
      <c r="A73" s="19" t="s">
        <v>19</v>
      </c>
      <c r="B73" s="39" t="s">
        <v>148</v>
      </c>
      <c r="C73" s="19"/>
      <c r="D73" s="61"/>
      <c r="E73" s="62"/>
      <c r="F73" s="62">
        <f>SUM(F68:F72)</f>
        <v>0</v>
      </c>
      <c r="G73" s="14"/>
      <c r="H73" s="13"/>
      <c r="I73" s="19"/>
      <c r="J73" s="37"/>
    </row>
    <row r="74" spans="1:10" ht="16.5" customHeight="1">
      <c r="A74" s="19"/>
      <c r="B74" s="13"/>
      <c r="C74" s="13"/>
      <c r="D74" s="61"/>
      <c r="E74" s="62"/>
      <c r="F74" s="62"/>
      <c r="G74" s="14"/>
      <c r="H74" s="13"/>
      <c r="I74" s="19"/>
      <c r="J74" s="37"/>
    </row>
    <row r="75" spans="1:10" ht="16.5" customHeight="1">
      <c r="A75" s="12">
        <v>8</v>
      </c>
      <c r="B75" s="7" t="s">
        <v>58</v>
      </c>
      <c r="C75" s="7"/>
      <c r="D75" s="61"/>
      <c r="E75" s="62"/>
      <c r="F75" s="62"/>
      <c r="G75" s="14"/>
      <c r="H75" s="13"/>
      <c r="I75" s="19"/>
      <c r="J75" s="37"/>
    </row>
    <row r="76" spans="1:10" ht="16.5" customHeight="1">
      <c r="A76" s="19" t="s">
        <v>8</v>
      </c>
      <c r="B76" s="23" t="s">
        <v>163</v>
      </c>
      <c r="C76" s="20"/>
      <c r="D76" s="61">
        <v>1</v>
      </c>
      <c r="E76" s="239">
        <v>40000</v>
      </c>
      <c r="F76" s="239">
        <f t="shared" ref="F76:F81" si="4">0.001*D76*E76</f>
        <v>40</v>
      </c>
      <c r="G76" s="240"/>
      <c r="H76" s="142" t="s">
        <v>396</v>
      </c>
      <c r="I76" s="19"/>
      <c r="J76" s="37"/>
    </row>
    <row r="77" spans="1:10" ht="16.5" customHeight="1">
      <c r="A77" s="19" t="s">
        <v>11</v>
      </c>
      <c r="B77" s="20" t="s">
        <v>59</v>
      </c>
      <c r="C77" s="20"/>
      <c r="D77" s="191">
        <v>0</v>
      </c>
      <c r="E77" s="239">
        <v>20000</v>
      </c>
      <c r="F77" s="239">
        <f t="shared" si="4"/>
        <v>0</v>
      </c>
      <c r="G77" s="240"/>
      <c r="H77" s="142" t="s">
        <v>245</v>
      </c>
      <c r="I77" s="19"/>
      <c r="J77" s="37"/>
    </row>
    <row r="78" spans="1:10" ht="16.5" customHeight="1">
      <c r="A78" s="19" t="s">
        <v>13</v>
      </c>
      <c r="B78" s="20" t="s">
        <v>60</v>
      </c>
      <c r="C78" s="20"/>
      <c r="D78" s="61">
        <v>0</v>
      </c>
      <c r="E78" s="62">
        <v>5000</v>
      </c>
      <c r="F78" s="62">
        <f t="shared" si="4"/>
        <v>0</v>
      </c>
      <c r="G78" s="14"/>
      <c r="H78" s="142" t="s">
        <v>378</v>
      </c>
      <c r="I78" s="19"/>
      <c r="J78" s="37"/>
    </row>
    <row r="79" spans="1:10" ht="16.5" customHeight="1">
      <c r="A79" s="39" t="s">
        <v>16</v>
      </c>
      <c r="B79" s="23" t="s">
        <v>61</v>
      </c>
      <c r="C79" s="23" t="s">
        <v>15</v>
      </c>
      <c r="D79" s="191">
        <v>3</v>
      </c>
      <c r="E79" s="239">
        <v>60000</v>
      </c>
      <c r="F79" s="239">
        <f t="shared" si="4"/>
        <v>180</v>
      </c>
      <c r="G79" s="240"/>
      <c r="H79" s="142" t="s">
        <v>399</v>
      </c>
      <c r="I79" s="19"/>
      <c r="J79" s="37"/>
    </row>
    <row r="80" spans="1:10" ht="16.5" customHeight="1">
      <c r="A80" s="39" t="s">
        <v>19</v>
      </c>
      <c r="B80" s="20" t="s">
        <v>62</v>
      </c>
      <c r="C80" s="20"/>
      <c r="D80" s="61">
        <v>1</v>
      </c>
      <c r="E80" s="62">
        <v>20000</v>
      </c>
      <c r="F80" s="62">
        <f t="shared" si="4"/>
        <v>20</v>
      </c>
      <c r="G80" s="14"/>
      <c r="H80" s="13" t="s">
        <v>10</v>
      </c>
      <c r="I80" s="19"/>
      <c r="J80" s="37"/>
    </row>
    <row r="81" spans="1:10" ht="16.5" customHeight="1">
      <c r="A81" s="42" t="s">
        <v>21</v>
      </c>
      <c r="B81" s="27" t="s">
        <v>149</v>
      </c>
      <c r="C81" s="27"/>
      <c r="D81" s="63">
        <v>1</v>
      </c>
      <c r="E81" s="64">
        <v>7500</v>
      </c>
      <c r="F81" s="64">
        <f t="shared" si="4"/>
        <v>7.5</v>
      </c>
      <c r="G81" s="29"/>
      <c r="H81" s="28" t="s">
        <v>10</v>
      </c>
      <c r="I81" s="19"/>
      <c r="J81" s="37"/>
    </row>
    <row r="82" spans="1:10" ht="16.5" customHeight="1">
      <c r="A82" s="39" t="s">
        <v>35</v>
      </c>
      <c r="B82" s="39" t="s">
        <v>63</v>
      </c>
      <c r="C82" s="13"/>
      <c r="D82" s="61"/>
      <c r="E82" s="62"/>
      <c r="F82" s="62">
        <f>SUM(F76:F81)</f>
        <v>247.5</v>
      </c>
      <c r="G82" s="14"/>
      <c r="H82" s="13"/>
      <c r="I82" s="19"/>
      <c r="J82" s="37"/>
    </row>
    <row r="83" spans="1:10" ht="16.5" customHeight="1">
      <c r="A83" s="19"/>
      <c r="B83" s="13"/>
      <c r="C83" s="13"/>
      <c r="D83" s="61"/>
      <c r="E83" s="62"/>
      <c r="F83" s="62"/>
      <c r="G83" s="14"/>
      <c r="H83" s="13"/>
      <c r="I83" s="19"/>
      <c r="J83" s="37"/>
    </row>
    <row r="84" spans="1:10" ht="16.5" customHeight="1">
      <c r="A84" s="12">
        <v>9</v>
      </c>
      <c r="B84" s="7" t="s">
        <v>247</v>
      </c>
      <c r="C84" s="7"/>
      <c r="D84" s="61"/>
      <c r="E84" s="62"/>
      <c r="F84" s="62"/>
      <c r="G84" s="14"/>
      <c r="H84" s="13"/>
      <c r="I84" s="19"/>
      <c r="J84" s="37"/>
    </row>
    <row r="85" spans="1:10" ht="16.5" customHeight="1">
      <c r="A85" s="19" t="s">
        <v>8</v>
      </c>
      <c r="B85" s="172" t="s">
        <v>248</v>
      </c>
      <c r="C85" s="41" t="s">
        <v>64</v>
      </c>
      <c r="D85" s="191">
        <v>3</v>
      </c>
      <c r="E85" s="239">
        <v>50000</v>
      </c>
      <c r="F85" s="239">
        <f t="shared" ref="F85:F90" si="5">0.001*D85*E85</f>
        <v>150</v>
      </c>
      <c r="G85" s="240"/>
      <c r="H85" s="142" t="s">
        <v>10</v>
      </c>
      <c r="I85" s="19"/>
      <c r="J85" s="37"/>
    </row>
    <row r="86" spans="1:10" ht="16.5" customHeight="1">
      <c r="A86" s="19" t="s">
        <v>11</v>
      </c>
      <c r="B86" s="41" t="s">
        <v>65</v>
      </c>
      <c r="C86" s="41" t="s">
        <v>64</v>
      </c>
      <c r="D86" s="191">
        <v>2</v>
      </c>
      <c r="E86" s="239">
        <v>75000</v>
      </c>
      <c r="F86" s="239">
        <f t="shared" si="5"/>
        <v>150</v>
      </c>
      <c r="G86" s="240"/>
      <c r="H86" s="142" t="s">
        <v>287</v>
      </c>
      <c r="I86" s="19"/>
      <c r="J86" s="37"/>
    </row>
    <row r="87" spans="1:10" ht="16.5" customHeight="1">
      <c r="A87" s="19" t="s">
        <v>13</v>
      </c>
      <c r="B87" s="172" t="s">
        <v>249</v>
      </c>
      <c r="C87" s="41"/>
      <c r="D87" s="191">
        <v>1</v>
      </c>
      <c r="E87" s="239">
        <v>50000</v>
      </c>
      <c r="F87" s="239">
        <f t="shared" si="5"/>
        <v>50</v>
      </c>
      <c r="G87" s="240"/>
      <c r="H87" s="142" t="s">
        <v>10</v>
      </c>
      <c r="I87" s="19"/>
      <c r="J87" s="37"/>
    </row>
    <row r="88" spans="1:10">
      <c r="A88" s="19" t="s">
        <v>16</v>
      </c>
      <c r="B88" s="172" t="s">
        <v>250</v>
      </c>
      <c r="C88" s="41"/>
      <c r="D88" s="191">
        <v>1</v>
      </c>
      <c r="E88" s="239">
        <v>25000</v>
      </c>
      <c r="F88" s="239">
        <f t="shared" si="5"/>
        <v>25</v>
      </c>
      <c r="G88" s="240"/>
      <c r="H88" s="142" t="s">
        <v>10</v>
      </c>
      <c r="I88" s="19"/>
      <c r="J88" s="37"/>
    </row>
    <row r="89" spans="1:10" ht="16.5" customHeight="1">
      <c r="A89" s="19" t="s">
        <v>19</v>
      </c>
      <c r="B89" s="41" t="s">
        <v>66</v>
      </c>
      <c r="C89" s="41"/>
      <c r="D89" s="191">
        <v>1</v>
      </c>
      <c r="E89" s="239">
        <v>25000</v>
      </c>
      <c r="F89" s="239">
        <f t="shared" si="5"/>
        <v>25</v>
      </c>
      <c r="G89" s="240"/>
      <c r="H89" s="142" t="s">
        <v>10</v>
      </c>
      <c r="I89" s="19"/>
      <c r="J89" s="37"/>
    </row>
    <row r="90" spans="1:10" ht="16.5" customHeight="1">
      <c r="A90" s="26" t="s">
        <v>21</v>
      </c>
      <c r="B90" s="192" t="s">
        <v>251</v>
      </c>
      <c r="C90" s="27"/>
      <c r="D90" s="184">
        <v>1</v>
      </c>
      <c r="E90" s="242">
        <v>50000</v>
      </c>
      <c r="F90" s="242">
        <f t="shared" si="5"/>
        <v>50</v>
      </c>
      <c r="G90" s="243"/>
      <c r="H90" s="238" t="s">
        <v>273</v>
      </c>
      <c r="I90" s="19"/>
      <c r="J90" s="37"/>
    </row>
    <row r="91" spans="1:10" ht="16.5" customHeight="1">
      <c r="A91" s="19" t="s">
        <v>35</v>
      </c>
      <c r="B91" s="185" t="s">
        <v>322</v>
      </c>
      <c r="C91" s="21"/>
      <c r="D91" s="61"/>
      <c r="E91" s="62"/>
      <c r="F91" s="62">
        <f>SUM(F85:F90)</f>
        <v>450</v>
      </c>
      <c r="G91" s="14"/>
      <c r="H91" s="13"/>
      <c r="I91" s="19"/>
      <c r="J91" s="37"/>
    </row>
    <row r="92" spans="1:10" ht="16.5" customHeight="1">
      <c r="A92" s="19"/>
      <c r="B92" s="13"/>
      <c r="C92" s="13"/>
      <c r="D92" s="61"/>
      <c r="E92" s="62"/>
      <c r="F92" s="62"/>
      <c r="G92" s="14"/>
      <c r="H92" s="13"/>
      <c r="I92" s="19"/>
      <c r="J92" s="37"/>
    </row>
    <row r="93" spans="1:10" ht="16.5" customHeight="1">
      <c r="A93" s="12">
        <v>10</v>
      </c>
      <c r="B93" s="7" t="s">
        <v>67</v>
      </c>
      <c r="C93" s="7"/>
      <c r="D93" s="61"/>
      <c r="E93" s="62"/>
      <c r="F93" s="62"/>
      <c r="G93" s="14"/>
      <c r="H93" s="13"/>
      <c r="I93" s="19"/>
      <c r="J93" s="37"/>
    </row>
    <row r="94" spans="1:10" ht="16.5" customHeight="1">
      <c r="A94" s="19" t="s">
        <v>8</v>
      </c>
      <c r="B94" s="41" t="s">
        <v>68</v>
      </c>
      <c r="C94" s="41"/>
      <c r="D94" s="69">
        <v>1</v>
      </c>
      <c r="E94" s="66">
        <v>5000</v>
      </c>
      <c r="F94" s="62">
        <f>0.001*D94*E94</f>
        <v>5</v>
      </c>
      <c r="G94" s="14"/>
      <c r="H94" s="13" t="s">
        <v>10</v>
      </c>
      <c r="I94" s="19"/>
      <c r="J94" s="37"/>
    </row>
    <row r="95" spans="1:10">
      <c r="A95" s="19" t="s">
        <v>11</v>
      </c>
      <c r="B95" s="41" t="s">
        <v>69</v>
      </c>
      <c r="C95" s="41"/>
      <c r="D95" s="246">
        <v>1</v>
      </c>
      <c r="E95" s="247">
        <v>20000</v>
      </c>
      <c r="F95" s="239">
        <f>0.001*D95*E95</f>
        <v>20</v>
      </c>
      <c r="G95" s="240"/>
      <c r="H95" s="176" t="s">
        <v>290</v>
      </c>
      <c r="I95" s="19"/>
      <c r="J95" s="37"/>
    </row>
    <row r="96" spans="1:10" ht="16.5" customHeight="1">
      <c r="A96" s="19" t="s">
        <v>13</v>
      </c>
      <c r="B96" s="41" t="s">
        <v>70</v>
      </c>
      <c r="C96" s="41"/>
      <c r="D96" s="69">
        <v>1</v>
      </c>
      <c r="E96" s="66">
        <v>5000</v>
      </c>
      <c r="F96" s="62">
        <f>0.001*D96*E96</f>
        <v>5</v>
      </c>
      <c r="G96" s="14"/>
      <c r="H96" s="13" t="s">
        <v>10</v>
      </c>
      <c r="I96" s="19"/>
      <c r="J96" s="37"/>
    </row>
    <row r="97" spans="1:10" ht="15.75" customHeight="1">
      <c r="A97" s="19" t="s">
        <v>16</v>
      </c>
      <c r="B97" s="41" t="s">
        <v>71</v>
      </c>
      <c r="C97" s="41"/>
      <c r="D97" s="69">
        <v>1</v>
      </c>
      <c r="E97" s="66">
        <v>10000</v>
      </c>
      <c r="F97" s="62">
        <f>0.001*D97*E97</f>
        <v>10</v>
      </c>
      <c r="G97" s="14"/>
      <c r="H97" s="13" t="s">
        <v>10</v>
      </c>
      <c r="I97" s="19"/>
      <c r="J97" s="37"/>
    </row>
    <row r="98" spans="1:10" ht="16.5" customHeight="1">
      <c r="A98" s="26" t="s">
        <v>19</v>
      </c>
      <c r="B98" s="27" t="s">
        <v>20</v>
      </c>
      <c r="C98" s="27"/>
      <c r="D98" s="63"/>
      <c r="E98" s="64"/>
      <c r="F98" s="64">
        <f>0.001*D98*E98</f>
        <v>0</v>
      </c>
      <c r="G98" s="29"/>
      <c r="H98" s="28"/>
      <c r="I98" s="19"/>
      <c r="J98" s="37"/>
    </row>
    <row r="99" spans="1:10" ht="16.5" customHeight="1">
      <c r="A99" s="19" t="s">
        <v>21</v>
      </c>
      <c r="B99" s="39" t="s">
        <v>72</v>
      </c>
      <c r="C99" s="39"/>
      <c r="D99" s="61"/>
      <c r="E99" s="62"/>
      <c r="F99" s="62">
        <f>SUM(F94:F98)</f>
        <v>40</v>
      </c>
      <c r="G99" s="14"/>
      <c r="H99" s="13"/>
      <c r="I99" s="19"/>
      <c r="J99" s="37"/>
    </row>
    <row r="100" spans="1:10" ht="16.5" customHeight="1">
      <c r="A100" s="13"/>
      <c r="B100" s="13"/>
      <c r="C100" s="13"/>
      <c r="D100" s="61"/>
      <c r="E100" s="62"/>
      <c r="F100" s="62"/>
      <c r="G100" s="14"/>
      <c r="H100" s="13"/>
      <c r="I100" s="19"/>
      <c r="J100" s="37"/>
    </row>
    <row r="101" spans="1:10" ht="16.5" customHeight="1">
      <c r="A101" s="12">
        <v>11</v>
      </c>
      <c r="B101" s="7" t="s">
        <v>73</v>
      </c>
      <c r="C101" s="7"/>
      <c r="D101" s="61"/>
      <c r="E101" s="62"/>
      <c r="F101" s="62"/>
      <c r="G101" s="14"/>
      <c r="H101" s="13"/>
      <c r="I101" s="19"/>
      <c r="J101" s="37"/>
    </row>
    <row r="102" spans="1:10" ht="16.5" customHeight="1">
      <c r="A102" s="19" t="s">
        <v>8</v>
      </c>
      <c r="B102" s="20" t="s">
        <v>14</v>
      </c>
      <c r="C102" s="20" t="s">
        <v>15</v>
      </c>
      <c r="D102" s="191">
        <v>1</v>
      </c>
      <c r="E102" s="239">
        <v>6200</v>
      </c>
      <c r="F102" s="239">
        <f>0.001*D102*E102</f>
        <v>6.2</v>
      </c>
      <c r="G102" s="240"/>
      <c r="H102" s="142" t="s">
        <v>10</v>
      </c>
      <c r="I102" s="19"/>
      <c r="J102" s="37"/>
    </row>
    <row r="103" spans="1:10" ht="16.5" customHeight="1">
      <c r="A103" s="19" t="s">
        <v>11</v>
      </c>
      <c r="B103" s="20" t="s">
        <v>74</v>
      </c>
      <c r="C103" s="20"/>
      <c r="D103" s="191">
        <v>1</v>
      </c>
      <c r="E103" s="239">
        <f>'Interconnect Costs'!K6</f>
        <v>52000</v>
      </c>
      <c r="F103" s="239">
        <f>0.001*D103*E103</f>
        <v>52</v>
      </c>
      <c r="G103" s="240"/>
      <c r="H103" s="142" t="s">
        <v>274</v>
      </c>
      <c r="I103" s="19"/>
      <c r="J103" s="37"/>
    </row>
    <row r="104" spans="1:10" ht="16.5" customHeight="1">
      <c r="A104" s="19" t="s">
        <v>13</v>
      </c>
      <c r="B104" s="20" t="s">
        <v>75</v>
      </c>
      <c r="C104" s="20"/>
      <c r="D104" s="191">
        <v>1</v>
      </c>
      <c r="E104" s="239">
        <v>10000</v>
      </c>
      <c r="F104" s="239">
        <f>0.001*D104*E104</f>
        <v>10</v>
      </c>
      <c r="G104" s="240"/>
      <c r="H104" s="142" t="s">
        <v>10</v>
      </c>
      <c r="I104" s="19"/>
      <c r="J104" s="37"/>
    </row>
    <row r="105" spans="1:10" ht="32.25" customHeight="1">
      <c r="A105" s="19" t="s">
        <v>13</v>
      </c>
      <c r="B105" s="20" t="s">
        <v>76</v>
      </c>
      <c r="C105" s="20"/>
      <c r="D105" s="191">
        <v>1</v>
      </c>
      <c r="E105" s="239">
        <f>'Interconnect Costs'!K7+'Interconnect Costs'!K8+'Interconnect Costs'!K9</f>
        <v>50000</v>
      </c>
      <c r="F105" s="239">
        <f>0.001*D105*E105</f>
        <v>50</v>
      </c>
      <c r="G105" s="240"/>
      <c r="H105" s="142" t="s">
        <v>267</v>
      </c>
      <c r="I105" s="19"/>
      <c r="J105" s="37"/>
    </row>
    <row r="106" spans="1:10" ht="16.5" customHeight="1">
      <c r="A106" s="26" t="s">
        <v>16</v>
      </c>
      <c r="B106" s="192" t="s">
        <v>248</v>
      </c>
      <c r="C106" s="27"/>
      <c r="D106" s="184">
        <v>1</v>
      </c>
      <c r="E106" s="242">
        <v>20000</v>
      </c>
      <c r="F106" s="242">
        <f>0.001*D106*E106</f>
        <v>20</v>
      </c>
      <c r="G106" s="243"/>
      <c r="H106" s="238" t="s">
        <v>10</v>
      </c>
      <c r="I106" s="19"/>
      <c r="J106" s="37"/>
    </row>
    <row r="107" spans="1:10">
      <c r="A107" s="19" t="s">
        <v>21</v>
      </c>
      <c r="B107" s="19" t="s">
        <v>77</v>
      </c>
      <c r="C107" s="19"/>
      <c r="D107" s="191"/>
      <c r="E107" s="239"/>
      <c r="F107" s="239">
        <f>SUM(F102:F106)</f>
        <v>138.19999999999999</v>
      </c>
      <c r="G107" s="240"/>
      <c r="H107" s="142"/>
      <c r="I107" s="19"/>
      <c r="J107" s="37"/>
    </row>
    <row r="108" spans="1:10" ht="16.5" customHeight="1">
      <c r="A108" s="13"/>
      <c r="B108" s="13"/>
      <c r="C108" s="13"/>
      <c r="D108" s="61"/>
      <c r="E108" s="62"/>
      <c r="F108" s="62"/>
      <c r="G108" s="14"/>
      <c r="H108" s="13"/>
      <c r="I108" s="19"/>
      <c r="J108" s="37"/>
    </row>
    <row r="109" spans="1:10" ht="16.5" customHeight="1">
      <c r="A109" s="12">
        <v>12</v>
      </c>
      <c r="B109" s="7" t="s">
        <v>78</v>
      </c>
      <c r="C109" s="7"/>
      <c r="D109" s="61"/>
      <c r="E109" s="62"/>
      <c r="F109" s="62"/>
      <c r="G109" s="14"/>
      <c r="H109" s="13"/>
      <c r="I109" s="19"/>
      <c r="J109" s="37"/>
    </row>
    <row r="110" spans="1:10" ht="16.5" customHeight="1">
      <c r="A110" s="19" t="s">
        <v>8</v>
      </c>
      <c r="B110" s="20" t="s">
        <v>79</v>
      </c>
      <c r="C110" s="20"/>
      <c r="D110" s="61">
        <v>1</v>
      </c>
      <c r="E110" s="62">
        <f>F130*1000*0.08</f>
        <v>278068.61718714569</v>
      </c>
      <c r="F110" s="62">
        <f t="shared" ref="F110:F115" si="6">0.001*D110*E110</f>
        <v>278.06861718714572</v>
      </c>
      <c r="G110" s="14"/>
      <c r="H110" s="36" t="s">
        <v>164</v>
      </c>
      <c r="I110" s="19"/>
      <c r="J110" s="37"/>
    </row>
    <row r="111" spans="1:10">
      <c r="A111" s="19" t="s">
        <v>11</v>
      </c>
      <c r="B111" s="20" t="s">
        <v>80</v>
      </c>
      <c r="C111" s="20"/>
      <c r="D111" s="61">
        <v>1</v>
      </c>
      <c r="E111" s="62">
        <v>25000</v>
      </c>
      <c r="F111" s="62">
        <f t="shared" si="6"/>
        <v>25</v>
      </c>
      <c r="G111" s="14"/>
      <c r="H111" s="13" t="s">
        <v>10</v>
      </c>
      <c r="I111" s="19"/>
      <c r="J111" s="37"/>
    </row>
    <row r="112" spans="1:10" ht="16.5" customHeight="1">
      <c r="A112" s="19" t="s">
        <v>13</v>
      </c>
      <c r="B112" s="20" t="s">
        <v>81</v>
      </c>
      <c r="C112" s="20"/>
      <c r="D112" s="61">
        <v>1</v>
      </c>
      <c r="E112" s="62">
        <v>20000</v>
      </c>
      <c r="F112" s="62">
        <f t="shared" si="6"/>
        <v>20</v>
      </c>
      <c r="G112" s="14"/>
      <c r="H112" s="13" t="s">
        <v>82</v>
      </c>
      <c r="I112" s="19"/>
      <c r="J112" s="37"/>
    </row>
    <row r="113" spans="1:10" ht="16.5" customHeight="1">
      <c r="A113" s="19" t="s">
        <v>16</v>
      </c>
      <c r="B113" s="20" t="s">
        <v>83</v>
      </c>
      <c r="C113" s="20"/>
      <c r="D113" s="61">
        <v>1</v>
      </c>
      <c r="E113" s="62">
        <v>35000</v>
      </c>
      <c r="F113" s="62">
        <f t="shared" si="6"/>
        <v>35</v>
      </c>
      <c r="G113" s="14"/>
      <c r="H113" s="13" t="s">
        <v>91</v>
      </c>
      <c r="I113" s="19"/>
      <c r="J113" s="37"/>
    </row>
    <row r="114" spans="1:10">
      <c r="A114" s="19" t="s">
        <v>19</v>
      </c>
      <c r="B114" s="20" t="s">
        <v>84</v>
      </c>
      <c r="C114" s="20"/>
      <c r="D114" s="61">
        <v>1</v>
      </c>
      <c r="E114" s="62">
        <v>100000</v>
      </c>
      <c r="F114" s="62">
        <f t="shared" si="6"/>
        <v>100</v>
      </c>
      <c r="G114" s="14"/>
      <c r="H114" s="13" t="s">
        <v>10</v>
      </c>
      <c r="I114" s="19"/>
      <c r="J114" s="37"/>
    </row>
    <row r="115" spans="1:10" ht="16.5" customHeight="1">
      <c r="A115" s="26" t="s">
        <v>21</v>
      </c>
      <c r="B115" s="27" t="s">
        <v>20</v>
      </c>
      <c r="C115" s="27"/>
      <c r="D115" s="63"/>
      <c r="E115" s="64"/>
      <c r="F115" s="64">
        <f t="shared" si="6"/>
        <v>0</v>
      </c>
      <c r="G115" s="29"/>
      <c r="H115" s="28"/>
      <c r="I115" s="19"/>
      <c r="J115" s="37"/>
    </row>
    <row r="116" spans="1:10" ht="16.5" customHeight="1">
      <c r="A116" s="19" t="s">
        <v>35</v>
      </c>
      <c r="B116" s="19" t="s">
        <v>85</v>
      </c>
      <c r="C116" s="19"/>
      <c r="D116" s="61"/>
      <c r="E116" s="62"/>
      <c r="F116" s="62">
        <f>SUM(F110:F115)</f>
        <v>458.06861718714572</v>
      </c>
      <c r="G116" s="14"/>
      <c r="H116" s="13"/>
      <c r="I116" s="19"/>
      <c r="J116" s="37"/>
    </row>
    <row r="117" spans="1:10" ht="16.5" customHeight="1">
      <c r="A117" s="13"/>
      <c r="B117" s="13"/>
      <c r="C117" s="13"/>
      <c r="D117" s="61"/>
      <c r="E117" s="62"/>
      <c r="F117" s="62"/>
      <c r="G117" s="14"/>
      <c r="H117" s="13"/>
      <c r="I117" s="19"/>
      <c r="J117" s="37"/>
    </row>
    <row r="118" spans="1:10" ht="16.5" customHeight="1">
      <c r="A118" s="12"/>
      <c r="B118" s="7" t="s">
        <v>86</v>
      </c>
      <c r="C118" s="7"/>
      <c r="D118" s="61"/>
      <c r="E118" s="62"/>
      <c r="F118" s="62"/>
      <c r="G118" s="14"/>
      <c r="H118" s="13"/>
      <c r="I118" s="19"/>
      <c r="J118" s="37"/>
    </row>
    <row r="119" spans="1:10" ht="16.5" customHeight="1">
      <c r="A119" s="12">
        <f>A$2</f>
        <v>1</v>
      </c>
      <c r="B119" s="13" t="str">
        <f>B$2</f>
        <v>General</v>
      </c>
      <c r="C119" s="13"/>
      <c r="D119" s="61"/>
      <c r="E119" s="62"/>
      <c r="F119" s="62">
        <f>F$8</f>
        <v>177</v>
      </c>
      <c r="G119" s="14"/>
      <c r="H119" s="13"/>
      <c r="I119" s="19"/>
      <c r="J119" s="37"/>
    </row>
    <row r="120" spans="1:10" ht="16.5" customHeight="1">
      <c r="A120" s="12">
        <f>A$10</f>
        <v>2</v>
      </c>
      <c r="B120" s="13" t="str">
        <f>B$10</f>
        <v>Powerhouse/Intake</v>
      </c>
      <c r="C120" s="13"/>
      <c r="D120" s="61"/>
      <c r="E120" s="62"/>
      <c r="F120" s="62">
        <f>F$30</f>
        <v>1738.8856028393211</v>
      </c>
      <c r="G120" s="14"/>
      <c r="H120" s="13"/>
      <c r="I120" s="19"/>
      <c r="J120" s="37"/>
    </row>
    <row r="121" spans="1:10" ht="16.5" customHeight="1">
      <c r="A121" s="12">
        <f>A$32</f>
        <v>3</v>
      </c>
      <c r="B121" s="13" t="str">
        <f>B$32</f>
        <v>Equipment</v>
      </c>
      <c r="C121" s="13"/>
      <c r="D121" s="61"/>
      <c r="E121" s="62"/>
      <c r="F121" s="62">
        <f>F$39</f>
        <v>684.27211199999999</v>
      </c>
      <c r="G121" s="14"/>
      <c r="H121" s="13"/>
      <c r="I121" s="19"/>
      <c r="J121" s="37"/>
    </row>
    <row r="122" spans="1:10" ht="16.5" hidden="1" customHeight="1">
      <c r="A122" s="43">
        <f>A$41</f>
        <v>4</v>
      </c>
      <c r="B122" s="11" t="str">
        <f>B$41</f>
        <v xml:space="preserve">Spillway </v>
      </c>
      <c r="E122" s="66"/>
      <c r="F122" s="66">
        <f>F$47</f>
        <v>0</v>
      </c>
      <c r="G122" s="44"/>
      <c r="I122" s="19"/>
      <c r="J122" s="37"/>
    </row>
    <row r="123" spans="1:10" ht="16.5" hidden="1" customHeight="1">
      <c r="A123" s="43">
        <f>A$49</f>
        <v>5</v>
      </c>
      <c r="B123" s="11" t="str">
        <f>B$49</f>
        <v>East (left) Dike</v>
      </c>
      <c r="E123" s="66"/>
      <c r="F123" s="66">
        <f>F$56</f>
        <v>0</v>
      </c>
      <c r="G123" s="33"/>
      <c r="I123" s="19"/>
      <c r="J123" s="37"/>
    </row>
    <row r="124" spans="1:10" ht="16.5" hidden="1" customHeight="1">
      <c r="A124" s="43">
        <f>A$58</f>
        <v>5</v>
      </c>
      <c r="B124" s="11" t="str">
        <f>B$58</f>
        <v>West (right) Dike</v>
      </c>
      <c r="E124" s="66"/>
      <c r="F124" s="66">
        <f>F$65</f>
        <v>0</v>
      </c>
      <c r="G124" s="33"/>
      <c r="I124" s="19"/>
      <c r="J124" s="37"/>
    </row>
    <row r="125" spans="1:10" ht="16.5" hidden="1" customHeight="1">
      <c r="A125" s="43">
        <f>A$67</f>
        <v>7</v>
      </c>
      <c r="B125" s="11" t="str">
        <f>B$67</f>
        <v>Canal</v>
      </c>
      <c r="E125" s="66"/>
      <c r="F125" s="66">
        <f>F$73</f>
        <v>0</v>
      </c>
      <c r="G125" s="33"/>
      <c r="I125" s="19"/>
      <c r="J125" s="37"/>
    </row>
    <row r="126" spans="1:10" ht="16.5" customHeight="1">
      <c r="A126" s="43">
        <f>A$75</f>
        <v>8</v>
      </c>
      <c r="B126" s="11" t="str">
        <f>B$75</f>
        <v>PM&amp;E Measures</v>
      </c>
      <c r="E126" s="66"/>
      <c r="F126" s="66">
        <f>F$82</f>
        <v>247.5</v>
      </c>
      <c r="G126" s="33"/>
      <c r="I126" s="19"/>
      <c r="J126" s="37"/>
    </row>
    <row r="127" spans="1:10" ht="16.5" customHeight="1">
      <c r="A127" s="43">
        <f>A$84</f>
        <v>9</v>
      </c>
      <c r="B127" s="176" t="s">
        <v>247</v>
      </c>
      <c r="E127" s="66"/>
      <c r="F127" s="66">
        <f>F$91</f>
        <v>450</v>
      </c>
      <c r="G127" s="33"/>
      <c r="I127" s="19"/>
      <c r="J127" s="37"/>
    </row>
    <row r="128" spans="1:10" ht="16.5" customHeight="1">
      <c r="A128" s="43">
        <f>A$93</f>
        <v>10</v>
      </c>
      <c r="B128" s="11" t="str">
        <f>B$93</f>
        <v>Land &amp; Land Rights</v>
      </c>
      <c r="E128" s="66"/>
      <c r="F128" s="66">
        <f>F$99</f>
        <v>40</v>
      </c>
      <c r="G128" s="33"/>
      <c r="I128" s="19"/>
      <c r="J128" s="37"/>
    </row>
    <row r="129" spans="1:10" ht="16.5" customHeight="1">
      <c r="A129" s="45">
        <f>A$101</f>
        <v>11</v>
      </c>
      <c r="B129" s="46" t="str">
        <f>B$101</f>
        <v>Interconnection</v>
      </c>
      <c r="C129" s="46"/>
      <c r="D129" s="70"/>
      <c r="E129" s="71"/>
      <c r="F129" s="71">
        <f>F$107</f>
        <v>138.19999999999999</v>
      </c>
      <c r="G129" s="47"/>
      <c r="H129" s="183"/>
      <c r="I129" s="19"/>
      <c r="J129" s="37"/>
    </row>
    <row r="130" spans="1:10" ht="16.5" customHeight="1">
      <c r="A130" s="43"/>
      <c r="B130" s="48" t="s">
        <v>87</v>
      </c>
      <c r="C130" s="48"/>
      <c r="E130" s="66"/>
      <c r="F130" s="66">
        <f>SUM(F119:F129)</f>
        <v>3475.857714839321</v>
      </c>
      <c r="G130" s="33"/>
      <c r="I130" s="19"/>
      <c r="J130" s="37"/>
    </row>
    <row r="131" spans="1:10" ht="16.5" customHeight="1">
      <c r="A131" s="43"/>
      <c r="B131" s="48"/>
      <c r="C131" s="48"/>
      <c r="E131" s="66"/>
      <c r="F131" s="66"/>
      <c r="G131" s="33"/>
      <c r="I131" s="19"/>
      <c r="J131" s="37"/>
    </row>
    <row r="132" spans="1:10" ht="16.5" customHeight="1">
      <c r="A132" s="45">
        <f>A$109</f>
        <v>12</v>
      </c>
      <c r="B132" s="46" t="str">
        <f>B$109</f>
        <v>Indirect Costs</v>
      </c>
      <c r="C132" s="46"/>
      <c r="D132" s="70"/>
      <c r="E132" s="71"/>
      <c r="F132" s="71">
        <f>F$116</f>
        <v>458.06861718714572</v>
      </c>
      <c r="G132" s="47"/>
      <c r="H132" s="46"/>
      <c r="I132" s="19"/>
      <c r="J132" s="37"/>
    </row>
    <row r="133" spans="1:10" ht="16.5" customHeight="1">
      <c r="A133" s="43"/>
      <c r="B133" s="48" t="s">
        <v>88</v>
      </c>
      <c r="C133" s="48"/>
      <c r="E133" s="66"/>
      <c r="F133" s="72">
        <f>F$130+F$132</f>
        <v>3933.9263320264668</v>
      </c>
      <c r="G133" s="49"/>
      <c r="I133" s="19"/>
      <c r="J133" s="37"/>
    </row>
    <row r="134" spans="1:10" ht="16.5" customHeight="1">
      <c r="A134" s="43"/>
      <c r="B134" s="48"/>
      <c r="C134" s="48"/>
      <c r="E134" s="66"/>
      <c r="F134" s="72"/>
      <c r="G134" s="49"/>
      <c r="I134" s="19"/>
      <c r="J134" s="37"/>
    </row>
    <row r="135" spans="1:10" ht="16.5" customHeight="1">
      <c r="A135" s="45">
        <v>13</v>
      </c>
      <c r="B135" s="46" t="s">
        <v>89</v>
      </c>
      <c r="C135" s="46"/>
      <c r="D135" s="73">
        <f>F$133*1000</f>
        <v>3933926.3320264667</v>
      </c>
      <c r="E135" s="245">
        <v>0.2</v>
      </c>
      <c r="F135" s="71">
        <f>D135*E135*0.001</f>
        <v>786.78526640529344</v>
      </c>
      <c r="G135" s="47"/>
      <c r="H135" s="46"/>
      <c r="I135" s="19"/>
      <c r="J135" s="37"/>
    </row>
    <row r="136" spans="1:10" ht="16.5" customHeight="1">
      <c r="E136" s="66"/>
      <c r="F136" s="66"/>
      <c r="G136" s="33"/>
      <c r="I136" s="19"/>
      <c r="J136" s="37"/>
    </row>
    <row r="137" spans="1:10" ht="16.5" customHeight="1">
      <c r="A137" s="12"/>
      <c r="B137" s="50" t="s">
        <v>90</v>
      </c>
      <c r="C137" s="7"/>
      <c r="D137" s="61"/>
      <c r="E137" s="62"/>
      <c r="F137" s="60">
        <f>F$133+F$135</f>
        <v>4720.7115984317606</v>
      </c>
      <c r="G137" s="8"/>
      <c r="H137" s="13"/>
      <c r="I137" s="19"/>
      <c r="J137" s="37"/>
    </row>
    <row r="138" spans="1:10">
      <c r="I138" s="19"/>
      <c r="J138" s="37"/>
    </row>
    <row r="139" spans="1:10">
      <c r="I139" s="19"/>
      <c r="J139" s="37"/>
    </row>
    <row r="140" spans="1:10">
      <c r="I140" s="19"/>
      <c r="J140" s="37"/>
    </row>
    <row r="141" spans="1:10">
      <c r="I141" s="19"/>
      <c r="J141" s="37"/>
    </row>
    <row r="142" spans="1:10">
      <c r="I142" s="19"/>
      <c r="J142" s="37"/>
    </row>
    <row r="143" spans="1:10">
      <c r="I143" s="19"/>
      <c r="J143" s="37"/>
    </row>
    <row r="144" spans="1:10">
      <c r="I144" s="19"/>
      <c r="J144" s="37"/>
    </row>
    <row r="145" spans="9:10">
      <c r="I145" s="19"/>
      <c r="J145" s="37"/>
    </row>
    <row r="146" spans="9:10">
      <c r="I146" s="19"/>
      <c r="J146" s="37"/>
    </row>
    <row r="147" spans="9:10">
      <c r="I147" s="19"/>
      <c r="J147" s="37"/>
    </row>
    <row r="148" spans="9:10">
      <c r="I148" s="19"/>
      <c r="J148" s="37"/>
    </row>
    <row r="149" spans="9:10">
      <c r="I149" s="19"/>
      <c r="J149" s="37"/>
    </row>
    <row r="150" spans="9:10">
      <c r="I150" s="19"/>
      <c r="J150" s="37"/>
    </row>
    <row r="151" spans="9:10">
      <c r="I151" s="19"/>
      <c r="J151" s="37"/>
    </row>
    <row r="152" spans="9:10">
      <c r="I152" s="19"/>
      <c r="J152" s="37"/>
    </row>
    <row r="153" spans="9:10">
      <c r="I153" s="19"/>
      <c r="J153" s="37"/>
    </row>
    <row r="154" spans="9:10">
      <c r="I154" s="19"/>
      <c r="J154" s="37"/>
    </row>
    <row r="155" spans="9:10">
      <c r="I155" s="19"/>
      <c r="J155" s="37"/>
    </row>
    <row r="156" spans="9:10">
      <c r="I156" s="19"/>
      <c r="J156" s="37"/>
    </row>
    <row r="157" spans="9:10">
      <c r="I157" s="19"/>
      <c r="J157" s="37"/>
    </row>
    <row r="158" spans="9:10">
      <c r="I158" s="19"/>
      <c r="J158" s="37"/>
    </row>
    <row r="159" spans="9:10">
      <c r="I159" s="19"/>
      <c r="J159" s="37"/>
    </row>
    <row r="160" spans="9:10">
      <c r="I160" s="19"/>
      <c r="J160" s="37"/>
    </row>
    <row r="161" spans="9:10">
      <c r="I161" s="19"/>
      <c r="J161" s="37"/>
    </row>
    <row r="162" spans="9:10">
      <c r="I162" s="19"/>
      <c r="J162" s="37"/>
    </row>
    <row r="163" spans="9:10">
      <c r="I163" s="19"/>
      <c r="J163" s="37"/>
    </row>
    <row r="164" spans="9:10">
      <c r="I164" s="19"/>
      <c r="J164" s="37"/>
    </row>
    <row r="165" spans="9:10">
      <c r="I165" s="19"/>
      <c r="J165" s="37"/>
    </row>
    <row r="166" spans="9:10">
      <c r="I166" s="19"/>
      <c r="J166" s="37"/>
    </row>
    <row r="167" spans="9:10">
      <c r="I167" s="19"/>
      <c r="J167" s="37"/>
    </row>
    <row r="168" spans="9:10">
      <c r="I168" s="19"/>
      <c r="J168" s="37"/>
    </row>
    <row r="169" spans="9:10">
      <c r="I169" s="19"/>
      <c r="J169" s="37"/>
    </row>
    <row r="170" spans="9:10">
      <c r="I170" s="19"/>
      <c r="J170" s="37"/>
    </row>
    <row r="171" spans="9:10">
      <c r="I171" s="19"/>
      <c r="J171" s="37"/>
    </row>
    <row r="172" spans="9:10">
      <c r="I172" s="19"/>
      <c r="J172" s="37"/>
    </row>
    <row r="173" spans="9:10">
      <c r="I173" s="19"/>
      <c r="J173" s="37"/>
    </row>
    <row r="174" spans="9:10">
      <c r="I174" s="19"/>
      <c r="J174" s="37"/>
    </row>
  </sheetData>
  <mergeCells count="1">
    <mergeCell ref="L3:S11"/>
  </mergeCells>
  <conditionalFormatting sqref="I24:N65536 I3:I5 I17:I22 N12:N22 L3 I7:I15 K18:L22 M20:M22 K5 K8:K15 L12:M15">
    <cfRule type="cellIs" dxfId="19" priority="1" stopIfTrue="1" operator="equal">
      <formula>0</formula>
    </cfRule>
  </conditionalFormatting>
  <printOptions horizontalCentered="1" gridLines="1"/>
  <pageMargins left="0.75" right="0.75" top="0.63" bottom="0.63" header="0.32" footer="0.45"/>
  <pageSetup scale="61" fitToHeight="2" orientation="portrait" r:id="rId1"/>
  <headerFooter alignWithMargins="0">
    <oddHeader>&amp;L&amp;"Arial,Bold Italic"&amp;11&amp;A&amp;C&amp;"Arial,Bold Italic"&amp;11Ten Mile River Hydro
Phase I Feasibility Study&amp;R&amp;"Arial,Bold Italic"&amp;11For Planning Purposes Only</oddHeader>
    <oddFooter>&amp;L&amp;F&amp;R&amp;G</oddFooter>
  </headerFooter>
  <rowBreaks count="1" manualBreakCount="1">
    <brk id="92" max="7" man="1"/>
  </rowBreaks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5"/>
  </sheetPr>
  <dimension ref="A1:S174"/>
  <sheetViews>
    <sheetView view="pageBreakPreview" topLeftCell="A74" zoomScale="75" zoomScaleNormal="80" zoomScaleSheetLayoutView="75" workbookViewId="0">
      <selection activeCell="H11" sqref="H11"/>
    </sheetView>
  </sheetViews>
  <sheetFormatPr defaultRowHeight="12.75"/>
  <cols>
    <col min="1" max="1" width="4.85546875" style="11" customWidth="1"/>
    <col min="2" max="2" width="32.5703125" style="11" customWidth="1"/>
    <col min="3" max="3" width="9.140625" style="11"/>
    <col min="4" max="4" width="12.42578125" style="69" customWidth="1"/>
    <col min="5" max="5" width="9.42578125" style="69" customWidth="1"/>
    <col min="6" max="6" width="12.85546875" style="69" customWidth="1"/>
    <col min="7" max="7" width="3.140625" style="11" customWidth="1"/>
    <col min="8" max="8" width="60.7109375" style="11" customWidth="1"/>
    <col min="9" max="9" width="4.85546875" style="11" customWidth="1"/>
    <col min="10" max="10" width="12.28515625" style="51" customWidth="1"/>
    <col min="11" max="11" width="12.42578125" style="10" customWidth="1"/>
    <col min="12" max="12" width="12.5703125" style="10" customWidth="1"/>
    <col min="13" max="14" width="9.140625" style="10"/>
    <col min="15" max="16384" width="9.140625" style="11"/>
  </cols>
  <sheetData>
    <row r="1" spans="1:19" ht="25.5">
      <c r="A1" s="7" t="s">
        <v>0</v>
      </c>
      <c r="B1" s="7" t="s">
        <v>1</v>
      </c>
      <c r="C1" s="7" t="s">
        <v>2</v>
      </c>
      <c r="D1" s="12" t="s">
        <v>3</v>
      </c>
      <c r="E1" s="60" t="s">
        <v>4</v>
      </c>
      <c r="F1" s="60" t="s">
        <v>5</v>
      </c>
      <c r="G1" s="8"/>
      <c r="H1" s="7" t="s">
        <v>6</v>
      </c>
      <c r="I1" s="7"/>
      <c r="J1" s="9"/>
      <c r="L1" s="10" t="s">
        <v>270</v>
      </c>
    </row>
    <row r="2" spans="1:19" ht="16.5" customHeight="1">
      <c r="A2" s="12">
        <v>1</v>
      </c>
      <c r="B2" s="7" t="s">
        <v>7</v>
      </c>
      <c r="C2" s="7"/>
      <c r="D2" s="61"/>
      <c r="E2" s="62"/>
      <c r="F2" s="62"/>
      <c r="G2" s="14"/>
      <c r="H2" s="13"/>
      <c r="I2" s="15"/>
      <c r="J2" s="16"/>
      <c r="K2" s="170"/>
      <c r="M2" s="17"/>
      <c r="N2" s="17"/>
      <c r="O2" s="18"/>
      <c r="P2" s="18"/>
    </row>
    <row r="3" spans="1:19" ht="16.5" customHeight="1">
      <c r="A3" s="19" t="s">
        <v>8</v>
      </c>
      <c r="B3" s="20" t="s">
        <v>9</v>
      </c>
      <c r="C3" s="20"/>
      <c r="D3" s="61">
        <v>1</v>
      </c>
      <c r="E3" s="62">
        <v>25000</v>
      </c>
      <c r="F3" s="62">
        <f>0.001*D3*E3</f>
        <v>25</v>
      </c>
      <c r="G3" s="14"/>
      <c r="H3" s="13" t="s">
        <v>10</v>
      </c>
      <c r="I3" s="21"/>
      <c r="J3" s="22"/>
      <c r="L3" s="374" t="s">
        <v>303</v>
      </c>
      <c r="M3" s="374"/>
      <c r="N3" s="374"/>
      <c r="O3" s="374"/>
      <c r="P3" s="374"/>
      <c r="Q3" s="374"/>
      <c r="R3" s="374"/>
      <c r="S3" s="374"/>
    </row>
    <row r="4" spans="1:19" ht="16.5" customHeight="1">
      <c r="A4" s="19" t="s">
        <v>11</v>
      </c>
      <c r="B4" s="20" t="s">
        <v>12</v>
      </c>
      <c r="C4" s="20"/>
      <c r="D4" s="61">
        <v>1</v>
      </c>
      <c r="E4" s="62">
        <v>10000</v>
      </c>
      <c r="F4" s="62">
        <f>0.001*D4*E4</f>
        <v>10</v>
      </c>
      <c r="G4" s="14"/>
      <c r="H4" s="13" t="s">
        <v>10</v>
      </c>
      <c r="I4" s="21"/>
      <c r="J4" s="22"/>
      <c r="K4" s="140"/>
      <c r="L4" s="374"/>
      <c r="M4" s="374"/>
      <c r="N4" s="374"/>
      <c r="O4" s="374"/>
      <c r="P4" s="374"/>
      <c r="Q4" s="374"/>
      <c r="R4" s="374"/>
      <c r="S4" s="374"/>
    </row>
    <row r="5" spans="1:19" ht="18.75" customHeight="1">
      <c r="A5" s="19" t="s">
        <v>13</v>
      </c>
      <c r="B5" s="23" t="s">
        <v>14</v>
      </c>
      <c r="C5" s="23" t="s">
        <v>15</v>
      </c>
      <c r="D5" s="61">
        <v>4</v>
      </c>
      <c r="E5" s="62">
        <v>8000</v>
      </c>
      <c r="F5" s="62">
        <f>0.001*D5*E5</f>
        <v>32</v>
      </c>
      <c r="G5" s="14"/>
      <c r="H5" s="142" t="s">
        <v>285</v>
      </c>
      <c r="I5" s="21"/>
      <c r="J5" s="22"/>
      <c r="K5" s="17"/>
      <c r="L5" s="374"/>
      <c r="M5" s="374"/>
      <c r="N5" s="374"/>
      <c r="O5" s="374"/>
      <c r="P5" s="374"/>
      <c r="Q5" s="374"/>
      <c r="R5" s="374"/>
      <c r="S5" s="374"/>
    </row>
    <row r="6" spans="1:19" ht="16.5" customHeight="1">
      <c r="A6" s="19" t="s">
        <v>16</v>
      </c>
      <c r="B6" s="23" t="s">
        <v>17</v>
      </c>
      <c r="C6" s="23" t="s">
        <v>18</v>
      </c>
      <c r="D6" s="61">
        <v>2000</v>
      </c>
      <c r="E6" s="62">
        <v>10</v>
      </c>
      <c r="F6" s="62">
        <f>0.001*D6*E6</f>
        <v>20</v>
      </c>
      <c r="G6" s="14"/>
      <c r="H6" s="142" t="s">
        <v>285</v>
      </c>
      <c r="I6" s="18"/>
      <c r="J6" s="24"/>
      <c r="K6" s="25"/>
      <c r="L6" s="374"/>
      <c r="M6" s="374"/>
      <c r="N6" s="374"/>
      <c r="O6" s="374"/>
      <c r="P6" s="374"/>
      <c r="Q6" s="374"/>
      <c r="R6" s="374"/>
      <c r="S6" s="374"/>
    </row>
    <row r="7" spans="1:19" ht="16.5" customHeight="1">
      <c r="A7" s="26" t="s">
        <v>19</v>
      </c>
      <c r="B7" s="27" t="s">
        <v>151</v>
      </c>
      <c r="C7" s="27"/>
      <c r="D7" s="184">
        <v>1</v>
      </c>
      <c r="E7" s="64">
        <f>('Phase I Dam Repairs'!D3+'Phase I Dam Repairs'!D4)*1000</f>
        <v>90000</v>
      </c>
      <c r="F7" s="64">
        <f>0.001*D7*E7</f>
        <v>90</v>
      </c>
      <c r="G7" s="29"/>
      <c r="H7" s="238" t="s">
        <v>286</v>
      </c>
      <c r="I7" s="21"/>
      <c r="J7" s="22"/>
      <c r="K7" s="30"/>
      <c r="L7" s="374"/>
      <c r="M7" s="374"/>
      <c r="N7" s="374"/>
      <c r="O7" s="374"/>
      <c r="P7" s="374"/>
      <c r="Q7" s="374"/>
      <c r="R7" s="374"/>
      <c r="S7" s="374"/>
    </row>
    <row r="8" spans="1:19" ht="16.5" customHeight="1">
      <c r="A8" s="19" t="s">
        <v>21</v>
      </c>
      <c r="B8" s="19" t="s">
        <v>22</v>
      </c>
      <c r="C8" s="19"/>
      <c r="D8" s="61"/>
      <c r="E8" s="62"/>
      <c r="F8" s="62">
        <f>SUM(F2:F7)</f>
        <v>177</v>
      </c>
      <c r="G8" s="14"/>
      <c r="H8" s="13"/>
      <c r="I8" s="21"/>
      <c r="J8" s="22"/>
      <c r="K8" s="31"/>
      <c r="L8" s="374"/>
      <c r="M8" s="374"/>
      <c r="N8" s="374"/>
      <c r="O8" s="374"/>
      <c r="P8" s="374"/>
      <c r="Q8" s="374"/>
      <c r="R8" s="374"/>
      <c r="S8" s="374"/>
    </row>
    <row r="9" spans="1:19" ht="16.5" customHeight="1">
      <c r="A9" s="19"/>
      <c r="B9" s="13"/>
      <c r="C9" s="13"/>
      <c r="D9" s="61"/>
      <c r="E9" s="62"/>
      <c r="F9" s="62"/>
      <c r="G9" s="14"/>
      <c r="H9" s="13"/>
      <c r="I9" s="21"/>
      <c r="J9" s="22"/>
      <c r="K9" s="31"/>
      <c r="L9" s="374"/>
      <c r="M9" s="374"/>
      <c r="N9" s="374"/>
      <c r="O9" s="374"/>
      <c r="P9" s="374"/>
      <c r="Q9" s="374"/>
      <c r="R9" s="374"/>
      <c r="S9" s="374"/>
    </row>
    <row r="10" spans="1:19" ht="16.5" customHeight="1">
      <c r="A10" s="12">
        <v>2</v>
      </c>
      <c r="B10" s="7" t="s">
        <v>130</v>
      </c>
      <c r="C10" s="7"/>
      <c r="D10" s="65"/>
      <c r="E10" s="62"/>
      <c r="F10" s="62"/>
      <c r="G10" s="14"/>
      <c r="H10" s="13"/>
      <c r="I10" s="21"/>
      <c r="J10" s="22"/>
      <c r="K10" s="31"/>
      <c r="L10" s="374"/>
      <c r="M10" s="374"/>
      <c r="N10" s="374"/>
      <c r="O10" s="374"/>
      <c r="P10" s="374"/>
      <c r="Q10" s="374"/>
      <c r="R10" s="374"/>
      <c r="S10" s="374"/>
    </row>
    <row r="11" spans="1:19" ht="16.5" customHeight="1">
      <c r="A11" s="19" t="s">
        <v>8</v>
      </c>
      <c r="B11" s="20" t="s">
        <v>114</v>
      </c>
      <c r="C11" s="32"/>
      <c r="D11" s="66"/>
      <c r="E11" s="62"/>
      <c r="F11" s="62">
        <v>100</v>
      </c>
      <c r="G11" s="14"/>
      <c r="H11" s="13" t="s">
        <v>10</v>
      </c>
      <c r="I11" s="21"/>
      <c r="J11" s="22"/>
      <c r="K11" s="31"/>
      <c r="L11" s="374"/>
      <c r="M11" s="374"/>
      <c r="N11" s="374"/>
      <c r="O11" s="374"/>
      <c r="P11" s="374"/>
      <c r="Q11" s="374"/>
      <c r="R11" s="374"/>
      <c r="S11" s="374"/>
    </row>
    <row r="12" spans="1:19" ht="16.5" customHeight="1">
      <c r="A12" s="19" t="s">
        <v>11</v>
      </c>
      <c r="B12" s="194" t="s">
        <v>376</v>
      </c>
      <c r="C12" s="32"/>
      <c r="D12" s="66"/>
      <c r="E12" s="62"/>
      <c r="F12" s="62">
        <v>10</v>
      </c>
      <c r="G12" s="14"/>
      <c r="H12" s="13" t="s">
        <v>10</v>
      </c>
      <c r="I12" s="21"/>
      <c r="J12" s="22"/>
      <c r="K12" s="31"/>
      <c r="L12" s="31"/>
      <c r="M12" s="31"/>
      <c r="N12" s="17"/>
      <c r="O12" s="18"/>
      <c r="P12" s="18"/>
    </row>
    <row r="13" spans="1:19" ht="16.5" customHeight="1">
      <c r="A13" s="19" t="s">
        <v>13</v>
      </c>
      <c r="B13" s="303" t="s">
        <v>318</v>
      </c>
      <c r="C13" s="304"/>
      <c r="D13" s="305">
        <v>1</v>
      </c>
      <c r="E13" s="290">
        <f>'Pwrhse Cost Estimator'!D29</f>
        <v>592939.82256251317</v>
      </c>
      <c r="F13" s="290">
        <f t="shared" ref="F13:F29" si="0">0.001*D13*E13</f>
        <v>592.9398225625132</v>
      </c>
      <c r="G13" s="306"/>
      <c r="H13" s="307" t="s">
        <v>377</v>
      </c>
      <c r="I13" s="21"/>
      <c r="J13" s="22"/>
      <c r="K13" s="31"/>
      <c r="L13" s="31"/>
      <c r="M13" s="31"/>
      <c r="N13" s="17"/>
      <c r="O13" s="18"/>
      <c r="P13" s="18"/>
    </row>
    <row r="14" spans="1:19" ht="16.5" hidden="1" customHeight="1">
      <c r="A14" s="19" t="s">
        <v>25</v>
      </c>
      <c r="B14" s="308" t="s">
        <v>26</v>
      </c>
      <c r="C14" s="309" t="s">
        <v>27</v>
      </c>
      <c r="D14" s="310">
        <v>0</v>
      </c>
      <c r="E14" s="291">
        <v>100</v>
      </c>
      <c r="F14" s="291">
        <f t="shared" si="0"/>
        <v>0</v>
      </c>
      <c r="G14" s="311"/>
      <c r="H14" s="312" t="s">
        <v>156</v>
      </c>
      <c r="I14" s="21"/>
      <c r="J14" s="22"/>
      <c r="K14" s="17"/>
      <c r="L14" s="17"/>
      <c r="M14" s="17"/>
      <c r="N14" s="17"/>
      <c r="O14" s="18"/>
      <c r="P14" s="18"/>
    </row>
    <row r="15" spans="1:19" ht="27.75" hidden="1" customHeight="1">
      <c r="A15" s="19" t="s">
        <v>28</v>
      </c>
      <c r="B15" s="313" t="s">
        <v>29</v>
      </c>
      <c r="C15" s="309" t="s">
        <v>27</v>
      </c>
      <c r="D15" s="314">
        <v>0</v>
      </c>
      <c r="E15" s="291">
        <v>100</v>
      </c>
      <c r="F15" s="291">
        <f t="shared" si="0"/>
        <v>0</v>
      </c>
      <c r="G15" s="311"/>
      <c r="H15" s="312" t="s">
        <v>156</v>
      </c>
      <c r="I15" s="21"/>
      <c r="J15" s="22"/>
      <c r="K15" s="17"/>
      <c r="L15" s="17"/>
      <c r="M15" s="17"/>
      <c r="N15" s="17"/>
      <c r="O15" s="18"/>
      <c r="P15" s="18"/>
    </row>
    <row r="16" spans="1:19" ht="16.5" hidden="1" customHeight="1">
      <c r="A16" s="19" t="s">
        <v>30</v>
      </c>
      <c r="B16" s="313" t="s">
        <v>31</v>
      </c>
      <c r="C16" s="309" t="s">
        <v>27</v>
      </c>
      <c r="D16" s="314">
        <v>0</v>
      </c>
      <c r="E16" s="291">
        <v>100</v>
      </c>
      <c r="F16" s="291">
        <f t="shared" si="0"/>
        <v>0</v>
      </c>
      <c r="G16" s="311"/>
      <c r="H16" s="312" t="s">
        <v>156</v>
      </c>
      <c r="I16" s="18"/>
      <c r="J16" s="24"/>
      <c r="K16" s="25"/>
      <c r="L16" s="25"/>
      <c r="M16" s="25"/>
      <c r="N16" s="17"/>
      <c r="O16" s="18"/>
      <c r="P16" s="18"/>
    </row>
    <row r="17" spans="1:16" ht="16.5" hidden="1" customHeight="1">
      <c r="A17" s="21" t="s">
        <v>16</v>
      </c>
      <c r="B17" s="309" t="s">
        <v>32</v>
      </c>
      <c r="C17" s="309"/>
      <c r="D17" s="314">
        <v>0</v>
      </c>
      <c r="E17" s="291">
        <v>10000</v>
      </c>
      <c r="F17" s="291">
        <f t="shared" si="0"/>
        <v>0</v>
      </c>
      <c r="G17" s="311"/>
      <c r="H17" s="312" t="s">
        <v>10</v>
      </c>
      <c r="I17" s="21"/>
      <c r="J17" s="22"/>
      <c r="K17" s="30"/>
      <c r="L17" s="30"/>
      <c r="M17" s="30"/>
      <c r="N17" s="17"/>
      <c r="O17" s="18"/>
      <c r="P17" s="18"/>
    </row>
    <row r="18" spans="1:16" ht="16.5" hidden="1" customHeight="1">
      <c r="A18" s="19" t="s">
        <v>19</v>
      </c>
      <c r="B18" s="309" t="s">
        <v>33</v>
      </c>
      <c r="C18" s="309" t="s">
        <v>34</v>
      </c>
      <c r="D18" s="314">
        <v>0</v>
      </c>
      <c r="E18" s="291">
        <v>1000</v>
      </c>
      <c r="F18" s="291">
        <f t="shared" si="0"/>
        <v>0</v>
      </c>
      <c r="G18" s="311"/>
      <c r="H18" s="312" t="s">
        <v>156</v>
      </c>
      <c r="I18" s="21"/>
      <c r="J18" s="22"/>
      <c r="K18" s="31"/>
      <c r="L18" s="31"/>
      <c r="M18" s="30"/>
      <c r="N18" s="17"/>
      <c r="O18" s="18"/>
      <c r="P18" s="18"/>
    </row>
    <row r="19" spans="1:16" ht="16.5" hidden="1" customHeight="1">
      <c r="A19" s="19" t="s">
        <v>21</v>
      </c>
      <c r="B19" s="309" t="s">
        <v>57</v>
      </c>
      <c r="C19" s="309" t="s">
        <v>27</v>
      </c>
      <c r="D19" s="314">
        <v>0</v>
      </c>
      <c r="E19" s="291">
        <v>750</v>
      </c>
      <c r="F19" s="291">
        <f t="shared" si="0"/>
        <v>0</v>
      </c>
      <c r="G19" s="311"/>
      <c r="H19" s="312" t="s">
        <v>10</v>
      </c>
      <c r="I19" s="21"/>
      <c r="J19" s="22"/>
      <c r="K19" s="31"/>
      <c r="L19" s="31"/>
      <c r="M19" s="30"/>
      <c r="N19" s="17"/>
      <c r="O19" s="18"/>
      <c r="P19" s="18"/>
    </row>
    <row r="20" spans="1:16" ht="16.5" hidden="1" customHeight="1">
      <c r="A20" s="19" t="s">
        <v>35</v>
      </c>
      <c r="B20" s="309" t="s">
        <v>124</v>
      </c>
      <c r="C20" s="309" t="s">
        <v>23</v>
      </c>
      <c r="D20" s="314">
        <v>0</v>
      </c>
      <c r="E20" s="291">
        <v>100</v>
      </c>
      <c r="F20" s="291">
        <f t="shared" si="0"/>
        <v>0</v>
      </c>
      <c r="G20" s="311"/>
      <c r="H20" s="312" t="s">
        <v>157</v>
      </c>
      <c r="I20" s="21"/>
      <c r="J20" s="22"/>
      <c r="K20" s="31"/>
      <c r="L20" s="31"/>
      <c r="M20" s="31"/>
      <c r="N20" s="17"/>
      <c r="O20" s="18"/>
      <c r="P20" s="18"/>
    </row>
    <row r="21" spans="1:16" ht="16.5" hidden="1" customHeight="1">
      <c r="A21" s="19" t="s">
        <v>36</v>
      </c>
      <c r="B21" s="304" t="s">
        <v>37</v>
      </c>
      <c r="C21" s="315" t="s">
        <v>23</v>
      </c>
      <c r="D21" s="310">
        <v>0</v>
      </c>
      <c r="E21" s="291">
        <v>400</v>
      </c>
      <c r="F21" s="291">
        <f t="shared" si="0"/>
        <v>0</v>
      </c>
      <c r="G21" s="311"/>
      <c r="H21" s="312" t="s">
        <v>158</v>
      </c>
      <c r="I21" s="21"/>
      <c r="J21" s="22"/>
      <c r="K21" s="31"/>
      <c r="L21" s="31"/>
      <c r="M21" s="31"/>
      <c r="N21" s="17"/>
      <c r="O21" s="18"/>
      <c r="P21" s="18"/>
    </row>
    <row r="22" spans="1:16" ht="16.5" hidden="1" customHeight="1">
      <c r="A22" s="19" t="s">
        <v>25</v>
      </c>
      <c r="B22" s="304" t="s">
        <v>38</v>
      </c>
      <c r="C22" s="315"/>
      <c r="D22" s="305">
        <v>0</v>
      </c>
      <c r="E22" s="290">
        <v>150000</v>
      </c>
      <c r="F22" s="290">
        <f t="shared" si="0"/>
        <v>0</v>
      </c>
      <c r="G22" s="306"/>
      <c r="H22" s="316" t="s">
        <v>159</v>
      </c>
      <c r="I22" s="21"/>
      <c r="J22" s="22"/>
      <c r="K22" s="31"/>
      <c r="L22" s="31"/>
      <c r="M22" s="31"/>
      <c r="N22" s="17"/>
      <c r="O22" s="18"/>
      <c r="P22" s="18"/>
    </row>
    <row r="23" spans="1:16" ht="16.5" hidden="1" customHeight="1">
      <c r="A23" s="19" t="s">
        <v>39</v>
      </c>
      <c r="B23" s="309" t="s">
        <v>160</v>
      </c>
      <c r="C23" s="304"/>
      <c r="D23" s="317">
        <v>0</v>
      </c>
      <c r="E23" s="290">
        <v>15000</v>
      </c>
      <c r="F23" s="290">
        <f t="shared" si="0"/>
        <v>0</v>
      </c>
      <c r="G23" s="306"/>
      <c r="H23" s="316" t="s">
        <v>10</v>
      </c>
      <c r="J23" s="11"/>
      <c r="K23" s="11"/>
      <c r="L23" s="11"/>
      <c r="M23" s="11"/>
      <c r="N23" s="11"/>
    </row>
    <row r="24" spans="1:16" ht="33" customHeight="1">
      <c r="A24" s="19" t="s">
        <v>40</v>
      </c>
      <c r="B24" s="303" t="s">
        <v>292</v>
      </c>
      <c r="C24" s="303" t="s">
        <v>18</v>
      </c>
      <c r="D24" s="317">
        <v>2300</v>
      </c>
      <c r="E24" s="290">
        <f>'Penstock Costs'!G20</f>
        <v>474.76274677500004</v>
      </c>
      <c r="F24" s="290">
        <f t="shared" si="0"/>
        <v>1091.9543175825002</v>
      </c>
      <c r="G24" s="306"/>
      <c r="H24" s="307" t="s">
        <v>363</v>
      </c>
      <c r="I24" s="19"/>
      <c r="J24" s="37"/>
    </row>
    <row r="25" spans="1:16" ht="16.5" customHeight="1">
      <c r="A25" s="19" t="s">
        <v>41</v>
      </c>
      <c r="B25" s="304" t="s">
        <v>42</v>
      </c>
      <c r="C25" s="304"/>
      <c r="D25" s="317">
        <v>1</v>
      </c>
      <c r="E25" s="290">
        <v>5000</v>
      </c>
      <c r="F25" s="290">
        <f t="shared" si="0"/>
        <v>5</v>
      </c>
      <c r="G25" s="306"/>
      <c r="H25" s="318" t="s">
        <v>10</v>
      </c>
      <c r="I25" s="19"/>
      <c r="J25" s="37"/>
    </row>
    <row r="26" spans="1:16" ht="16.5" customHeight="1">
      <c r="A26" s="19" t="s">
        <v>43</v>
      </c>
      <c r="B26" s="304" t="s">
        <v>44</v>
      </c>
      <c r="C26" s="304"/>
      <c r="D26" s="317">
        <v>1</v>
      </c>
      <c r="E26" s="293">
        <v>10000</v>
      </c>
      <c r="F26" s="293">
        <f t="shared" si="0"/>
        <v>10</v>
      </c>
      <c r="G26" s="319"/>
      <c r="H26" s="307" t="s">
        <v>10</v>
      </c>
      <c r="I26" s="19"/>
      <c r="J26" s="37"/>
    </row>
    <row r="27" spans="1:16" ht="25.5" customHeight="1">
      <c r="A27" s="19" t="s">
        <v>45</v>
      </c>
      <c r="B27" s="304" t="s">
        <v>46</v>
      </c>
      <c r="C27" s="304"/>
      <c r="D27" s="317">
        <v>1</v>
      </c>
      <c r="E27" s="293">
        <v>10000</v>
      </c>
      <c r="F27" s="293">
        <f t="shared" si="0"/>
        <v>10</v>
      </c>
      <c r="G27" s="319"/>
      <c r="H27" s="307" t="s">
        <v>10</v>
      </c>
      <c r="I27" s="19"/>
      <c r="J27" s="37"/>
    </row>
    <row r="28" spans="1:16">
      <c r="A28" s="19" t="s">
        <v>47</v>
      </c>
      <c r="B28" s="304" t="s">
        <v>48</v>
      </c>
      <c r="C28" s="304"/>
      <c r="D28" s="317">
        <v>1</v>
      </c>
      <c r="E28" s="290">
        <v>5000</v>
      </c>
      <c r="F28" s="290">
        <f t="shared" si="0"/>
        <v>5</v>
      </c>
      <c r="G28" s="306"/>
      <c r="H28" s="318" t="s">
        <v>10</v>
      </c>
      <c r="I28" s="19"/>
      <c r="J28" s="37"/>
    </row>
    <row r="29" spans="1:16" ht="16.5" customHeight="1">
      <c r="A29" s="26" t="s">
        <v>49</v>
      </c>
      <c r="B29" s="324" t="s">
        <v>20</v>
      </c>
      <c r="C29" s="320"/>
      <c r="D29" s="297"/>
      <c r="E29" s="298"/>
      <c r="F29" s="294">
        <f t="shared" si="0"/>
        <v>0</v>
      </c>
      <c r="G29" s="299"/>
      <c r="H29" s="338"/>
      <c r="I29" s="19"/>
      <c r="J29" s="37"/>
    </row>
    <row r="30" spans="1:16">
      <c r="A30" s="19" t="s">
        <v>50</v>
      </c>
      <c r="B30" s="325" t="s">
        <v>385</v>
      </c>
      <c r="C30" s="321"/>
      <c r="D30" s="317"/>
      <c r="E30" s="290"/>
      <c r="F30" s="290">
        <f>SUM(F11:F29)</f>
        <v>1824.8941401450134</v>
      </c>
      <c r="G30" s="306"/>
      <c r="H30" s="318"/>
      <c r="I30" s="19"/>
      <c r="J30" s="37"/>
    </row>
    <row r="31" spans="1:16" ht="16.5" customHeight="1">
      <c r="A31" s="19"/>
      <c r="B31" s="318"/>
      <c r="C31" s="318"/>
      <c r="D31" s="317"/>
      <c r="E31" s="290"/>
      <c r="F31" s="290"/>
      <c r="G31" s="306"/>
      <c r="H31" s="318"/>
      <c r="I31" s="19"/>
      <c r="J31" s="37"/>
    </row>
    <row r="32" spans="1:16" ht="16.5" customHeight="1">
      <c r="A32" s="12">
        <v>3</v>
      </c>
      <c r="B32" s="322" t="s">
        <v>52</v>
      </c>
      <c r="C32" s="322"/>
      <c r="D32" s="317"/>
      <c r="E32" s="290"/>
      <c r="F32" s="290"/>
      <c r="G32" s="306"/>
      <c r="H32" s="318"/>
      <c r="I32" s="19"/>
      <c r="J32" s="37"/>
    </row>
    <row r="33" spans="1:10" ht="15">
      <c r="A33" s="19" t="s">
        <v>8</v>
      </c>
      <c r="B33" s="303" t="s">
        <v>319</v>
      </c>
      <c r="C33" s="304"/>
      <c r="D33" s="317">
        <v>1</v>
      </c>
      <c r="E33" s="295">
        <f>'TG Costs'!D28</f>
        <v>485209.76</v>
      </c>
      <c r="F33" s="290">
        <f t="shared" ref="F33:F38" si="1">0.001*D33*E33</f>
        <v>485.20976000000002</v>
      </c>
      <c r="G33" s="311"/>
      <c r="H33" s="307" t="s">
        <v>359</v>
      </c>
      <c r="I33" s="19"/>
      <c r="J33" s="37">
        <f>3/1.8*1.5</f>
        <v>2.5</v>
      </c>
    </row>
    <row r="34" spans="1:10" ht="20.25" customHeight="1">
      <c r="A34" s="19" t="s">
        <v>11</v>
      </c>
      <c r="B34" s="309" t="s">
        <v>161</v>
      </c>
      <c r="C34" s="304"/>
      <c r="D34" s="317">
        <v>1</v>
      </c>
      <c r="E34" s="290">
        <f>SUM(F33,F35:F38)*1000*0.2</f>
        <v>120041.952</v>
      </c>
      <c r="F34" s="290">
        <f t="shared" si="1"/>
        <v>120.04195200000001</v>
      </c>
      <c r="G34" s="306"/>
      <c r="H34" s="316" t="s">
        <v>162</v>
      </c>
      <c r="I34" s="19"/>
      <c r="J34" s="37"/>
    </row>
    <row r="35" spans="1:10" ht="16.5" customHeight="1">
      <c r="A35" s="19" t="s">
        <v>13</v>
      </c>
      <c r="B35" s="20" t="s">
        <v>53</v>
      </c>
      <c r="C35" s="20"/>
      <c r="D35" s="191">
        <v>1</v>
      </c>
      <c r="E35" s="239">
        <f>'Interconnect Costs'!K10</f>
        <v>20000</v>
      </c>
      <c r="F35" s="239">
        <f t="shared" si="1"/>
        <v>20</v>
      </c>
      <c r="G35" s="240"/>
      <c r="H35" s="241" t="s">
        <v>274</v>
      </c>
      <c r="I35" s="19"/>
      <c r="J35" s="37"/>
    </row>
    <row r="36" spans="1:10" ht="16.5" customHeight="1">
      <c r="A36" s="19" t="s">
        <v>16</v>
      </c>
      <c r="B36" s="194" t="s">
        <v>320</v>
      </c>
      <c r="C36" s="20"/>
      <c r="D36" s="191">
        <v>1</v>
      </c>
      <c r="E36" s="239">
        <v>50000</v>
      </c>
      <c r="F36" s="239">
        <f t="shared" si="1"/>
        <v>50</v>
      </c>
      <c r="G36" s="240"/>
      <c r="H36" s="142" t="s">
        <v>384</v>
      </c>
      <c r="I36" s="19"/>
      <c r="J36" s="37"/>
    </row>
    <row r="37" spans="1:10">
      <c r="A37" s="19" t="s">
        <v>19</v>
      </c>
      <c r="B37" s="20" t="s">
        <v>55</v>
      </c>
      <c r="C37" s="20"/>
      <c r="D37" s="191">
        <v>1</v>
      </c>
      <c r="E37" s="239">
        <v>20000</v>
      </c>
      <c r="F37" s="239">
        <f t="shared" si="1"/>
        <v>20</v>
      </c>
      <c r="G37" s="240"/>
      <c r="H37" s="142" t="s">
        <v>10</v>
      </c>
      <c r="I37" s="19"/>
      <c r="J37" s="37"/>
    </row>
    <row r="38" spans="1:10" ht="16.5" customHeight="1">
      <c r="A38" s="26" t="s">
        <v>21</v>
      </c>
      <c r="B38" s="192" t="s">
        <v>321</v>
      </c>
      <c r="C38" s="27"/>
      <c r="D38" s="184">
        <v>1</v>
      </c>
      <c r="E38" s="64">
        <v>25000</v>
      </c>
      <c r="F38" s="64">
        <f t="shared" si="1"/>
        <v>25</v>
      </c>
      <c r="G38" s="29"/>
      <c r="H38" s="238" t="s">
        <v>10</v>
      </c>
      <c r="I38" s="19"/>
      <c r="J38" s="37"/>
    </row>
    <row r="39" spans="1:10" ht="16.5" customHeight="1">
      <c r="A39" s="19" t="s">
        <v>35</v>
      </c>
      <c r="B39" s="19" t="s">
        <v>56</v>
      </c>
      <c r="C39" s="19"/>
      <c r="D39" s="61"/>
      <c r="E39" s="62"/>
      <c r="F39" s="62">
        <f>SUM(F33:F38)</f>
        <v>720.251712</v>
      </c>
      <c r="G39" s="14"/>
      <c r="H39" s="13"/>
      <c r="I39" s="19"/>
      <c r="J39" s="37"/>
    </row>
    <row r="40" spans="1:10" ht="16.5" hidden="1" customHeight="1">
      <c r="A40" s="19"/>
      <c r="B40" s="13"/>
      <c r="C40" s="13"/>
      <c r="D40" s="61"/>
      <c r="E40" s="62"/>
      <c r="F40" s="62"/>
      <c r="G40" s="14"/>
      <c r="H40" s="13"/>
      <c r="I40" s="19"/>
      <c r="J40" s="37"/>
    </row>
    <row r="41" spans="1:10" ht="16.5" hidden="1" customHeight="1">
      <c r="A41" s="12">
        <v>4</v>
      </c>
      <c r="B41" s="7" t="s">
        <v>132</v>
      </c>
      <c r="C41" s="7"/>
      <c r="D41" s="61"/>
      <c r="E41" s="62"/>
      <c r="F41" s="62"/>
      <c r="G41" s="14"/>
      <c r="H41" s="13"/>
      <c r="I41" s="19"/>
      <c r="J41" s="37"/>
    </row>
    <row r="42" spans="1:10" ht="16.5" hidden="1" customHeight="1">
      <c r="A42" s="19" t="s">
        <v>8</v>
      </c>
      <c r="B42" s="20" t="s">
        <v>133</v>
      </c>
      <c r="C42" s="23" t="s">
        <v>23</v>
      </c>
      <c r="D42" s="61"/>
      <c r="E42" s="62">
        <v>40</v>
      </c>
      <c r="F42" s="62">
        <f>0.001*D42*E42</f>
        <v>0</v>
      </c>
      <c r="G42" s="14"/>
      <c r="H42" s="13" t="s">
        <v>10</v>
      </c>
      <c r="I42" s="19"/>
      <c r="J42" s="37"/>
    </row>
    <row r="43" spans="1:10" ht="16.5" hidden="1" customHeight="1">
      <c r="A43" s="19" t="s">
        <v>11</v>
      </c>
      <c r="B43" s="20" t="s">
        <v>24</v>
      </c>
      <c r="C43" s="23" t="s">
        <v>27</v>
      </c>
      <c r="D43" s="61"/>
      <c r="E43" s="62">
        <v>15</v>
      </c>
      <c r="F43" s="62">
        <f>0.001*D43*E43</f>
        <v>0</v>
      </c>
      <c r="G43" s="14"/>
      <c r="H43" s="13" t="s">
        <v>10</v>
      </c>
      <c r="I43" s="19"/>
      <c r="J43" s="37"/>
    </row>
    <row r="44" spans="1:10" ht="16.5" hidden="1" customHeight="1">
      <c r="A44" s="19" t="s">
        <v>13</v>
      </c>
      <c r="B44" s="20" t="s">
        <v>134</v>
      </c>
      <c r="C44" s="23" t="s">
        <v>27</v>
      </c>
      <c r="D44" s="61"/>
      <c r="E44" s="62">
        <v>450</v>
      </c>
      <c r="F44" s="62">
        <f>0.001*D44*E44</f>
        <v>0</v>
      </c>
      <c r="G44" s="14"/>
      <c r="H44" s="13" t="s">
        <v>10</v>
      </c>
      <c r="I44" s="19"/>
      <c r="J44" s="37"/>
    </row>
    <row r="45" spans="1:10" hidden="1">
      <c r="A45" s="19" t="s">
        <v>16</v>
      </c>
      <c r="B45" s="20" t="s">
        <v>135</v>
      </c>
      <c r="C45" s="20"/>
      <c r="D45" s="61"/>
      <c r="E45" s="62"/>
      <c r="F45" s="62">
        <f>0.001*D45*E45</f>
        <v>0</v>
      </c>
      <c r="G45" s="14"/>
      <c r="H45" s="36"/>
      <c r="I45" s="19"/>
      <c r="J45" s="37"/>
    </row>
    <row r="46" spans="1:10" ht="16.5" hidden="1" customHeight="1">
      <c r="A46" s="26" t="s">
        <v>19</v>
      </c>
      <c r="B46" s="27" t="s">
        <v>20</v>
      </c>
      <c r="C46" s="27"/>
      <c r="D46" s="63"/>
      <c r="E46" s="64"/>
      <c r="F46" s="64">
        <f>0.001*D46*E46</f>
        <v>0</v>
      </c>
      <c r="G46" s="29"/>
      <c r="H46" s="28"/>
      <c r="I46" s="19"/>
      <c r="J46" s="37"/>
    </row>
    <row r="47" spans="1:10" ht="16.5" hidden="1" customHeight="1">
      <c r="A47" s="19" t="s">
        <v>21</v>
      </c>
      <c r="B47" s="19" t="s">
        <v>136</v>
      </c>
      <c r="C47" s="19"/>
      <c r="D47" s="61"/>
      <c r="E47" s="62"/>
      <c r="F47" s="62">
        <f>SUM(F42:F46)</f>
        <v>0</v>
      </c>
      <c r="G47" s="14"/>
      <c r="H47" s="13"/>
      <c r="I47" s="19"/>
      <c r="J47" s="37"/>
    </row>
    <row r="48" spans="1:10" ht="16.5" hidden="1" customHeight="1">
      <c r="A48" s="19"/>
      <c r="B48" s="13"/>
      <c r="C48" s="13"/>
      <c r="D48" s="61"/>
      <c r="E48" s="62"/>
      <c r="F48" s="62"/>
      <c r="G48" s="14"/>
      <c r="H48" s="13"/>
      <c r="I48" s="19"/>
      <c r="J48" s="37"/>
    </row>
    <row r="49" spans="1:10" ht="16.5" hidden="1" customHeight="1">
      <c r="A49" s="12">
        <v>5</v>
      </c>
      <c r="B49" s="7" t="s">
        <v>137</v>
      </c>
      <c r="C49" s="7"/>
      <c r="D49" s="61"/>
      <c r="E49" s="62"/>
      <c r="F49" s="62"/>
      <c r="G49" s="14"/>
      <c r="H49" s="13"/>
      <c r="I49" s="19"/>
      <c r="J49" s="37"/>
    </row>
    <row r="50" spans="1:10" ht="16.5" hidden="1" customHeight="1">
      <c r="A50" s="39" t="s">
        <v>8</v>
      </c>
      <c r="B50" s="40" t="s">
        <v>138</v>
      </c>
      <c r="C50" s="40"/>
      <c r="D50" s="61"/>
      <c r="E50" s="62">
        <v>1000</v>
      </c>
      <c r="F50" s="62">
        <f t="shared" ref="F50:F55" si="2">0.001*D50*E50</f>
        <v>0</v>
      </c>
      <c r="G50" s="14"/>
      <c r="H50" s="13" t="s">
        <v>10</v>
      </c>
      <c r="I50" s="19"/>
      <c r="J50" s="37"/>
    </row>
    <row r="51" spans="1:10" ht="16.5" hidden="1" customHeight="1">
      <c r="A51" s="39" t="s">
        <v>11</v>
      </c>
      <c r="B51" s="23" t="s">
        <v>17</v>
      </c>
      <c r="C51" s="23" t="s">
        <v>18</v>
      </c>
      <c r="D51" s="61"/>
      <c r="E51" s="62">
        <v>5</v>
      </c>
      <c r="F51" s="62">
        <f t="shared" si="2"/>
        <v>0</v>
      </c>
      <c r="G51" s="14"/>
      <c r="H51" s="13" t="s">
        <v>139</v>
      </c>
      <c r="I51" s="19"/>
      <c r="J51" s="37"/>
    </row>
    <row r="52" spans="1:10" ht="16.5" hidden="1" customHeight="1">
      <c r="A52" s="19" t="s">
        <v>13</v>
      </c>
      <c r="B52" s="41" t="s">
        <v>140</v>
      </c>
      <c r="C52" s="40" t="s">
        <v>15</v>
      </c>
      <c r="D52" s="61"/>
      <c r="E52" s="62">
        <v>6201</v>
      </c>
      <c r="F52" s="62">
        <f t="shared" si="2"/>
        <v>0</v>
      </c>
      <c r="G52" s="14"/>
      <c r="H52" s="13" t="s">
        <v>10</v>
      </c>
      <c r="I52" s="19"/>
      <c r="J52" s="37"/>
    </row>
    <row r="53" spans="1:10" ht="16.5" hidden="1" customHeight="1">
      <c r="A53" s="19" t="s">
        <v>16</v>
      </c>
      <c r="B53" s="41" t="s">
        <v>24</v>
      </c>
      <c r="C53" s="41" t="s">
        <v>27</v>
      </c>
      <c r="D53" s="67"/>
      <c r="E53" s="62">
        <v>15</v>
      </c>
      <c r="F53" s="62">
        <f t="shared" si="2"/>
        <v>0</v>
      </c>
      <c r="G53" s="14"/>
      <c r="H53" s="13" t="s">
        <v>139</v>
      </c>
      <c r="I53" s="19"/>
      <c r="J53" s="37"/>
    </row>
    <row r="54" spans="1:10" ht="16.5" hidden="1" customHeight="1">
      <c r="A54" s="19" t="s">
        <v>19</v>
      </c>
      <c r="B54" s="41" t="s">
        <v>141</v>
      </c>
      <c r="C54" s="41" t="s">
        <v>27</v>
      </c>
      <c r="D54" s="67"/>
      <c r="E54" s="62">
        <v>40</v>
      </c>
      <c r="F54" s="62">
        <f t="shared" si="2"/>
        <v>0</v>
      </c>
      <c r="G54" s="14"/>
      <c r="H54" s="13" t="s">
        <v>139</v>
      </c>
      <c r="I54" s="19"/>
      <c r="J54" s="37"/>
    </row>
    <row r="55" spans="1:10" ht="16.5" hidden="1" customHeight="1">
      <c r="A55" s="26" t="s">
        <v>21</v>
      </c>
      <c r="B55" s="27" t="s">
        <v>20</v>
      </c>
      <c r="C55" s="27"/>
      <c r="D55" s="63"/>
      <c r="E55" s="64"/>
      <c r="F55" s="64">
        <f t="shared" si="2"/>
        <v>0</v>
      </c>
      <c r="G55" s="29"/>
      <c r="H55" s="28"/>
      <c r="I55" s="19"/>
      <c r="J55" s="37"/>
    </row>
    <row r="56" spans="1:10" ht="16.5" hidden="1" customHeight="1">
      <c r="A56" s="19" t="s">
        <v>35</v>
      </c>
      <c r="B56" s="21" t="s">
        <v>142</v>
      </c>
      <c r="C56" s="21"/>
      <c r="D56" s="61"/>
      <c r="E56" s="62"/>
      <c r="F56" s="62">
        <f>SUM(F50:F55)</f>
        <v>0</v>
      </c>
      <c r="G56" s="14"/>
      <c r="H56" s="13"/>
      <c r="I56" s="19"/>
      <c r="J56" s="37"/>
    </row>
    <row r="57" spans="1:10" ht="16.5" hidden="1" customHeight="1">
      <c r="A57" s="19"/>
      <c r="B57" s="13"/>
      <c r="C57" s="13"/>
      <c r="D57" s="61"/>
      <c r="E57" s="62"/>
      <c r="F57" s="62"/>
      <c r="G57" s="14"/>
      <c r="H57" s="13"/>
      <c r="I57" s="19"/>
      <c r="J57" s="37"/>
    </row>
    <row r="58" spans="1:10" hidden="1">
      <c r="A58" s="12">
        <v>5</v>
      </c>
      <c r="B58" s="7" t="s">
        <v>143</v>
      </c>
      <c r="C58" s="7"/>
      <c r="D58" s="61"/>
      <c r="E58" s="62"/>
      <c r="F58" s="62"/>
      <c r="G58" s="14"/>
      <c r="H58" s="13"/>
      <c r="I58" s="19"/>
      <c r="J58" s="37"/>
    </row>
    <row r="59" spans="1:10" ht="16.5" hidden="1" customHeight="1">
      <c r="A59" s="39" t="s">
        <v>8</v>
      </c>
      <c r="B59" s="40" t="s">
        <v>138</v>
      </c>
      <c r="C59" s="40"/>
      <c r="D59" s="61"/>
      <c r="E59" s="62">
        <v>1000</v>
      </c>
      <c r="F59" s="62">
        <f t="shared" ref="F59:F64" si="3">0.001*D59*E59</f>
        <v>0</v>
      </c>
      <c r="G59" s="14"/>
      <c r="H59" s="13" t="s">
        <v>10</v>
      </c>
      <c r="I59" s="19"/>
      <c r="J59" s="37"/>
    </row>
    <row r="60" spans="1:10" ht="16.5" hidden="1" customHeight="1">
      <c r="A60" s="39" t="s">
        <v>11</v>
      </c>
      <c r="B60" s="23" t="s">
        <v>17</v>
      </c>
      <c r="C60" s="23" t="s">
        <v>18</v>
      </c>
      <c r="D60" s="61"/>
      <c r="E60" s="62">
        <v>5</v>
      </c>
      <c r="F60" s="62">
        <f t="shared" si="3"/>
        <v>0</v>
      </c>
      <c r="G60" s="14"/>
      <c r="H60" s="13" t="s">
        <v>139</v>
      </c>
      <c r="I60" s="19"/>
      <c r="J60" s="37"/>
    </row>
    <row r="61" spans="1:10" ht="16.5" hidden="1" customHeight="1">
      <c r="A61" s="19" t="s">
        <v>13</v>
      </c>
      <c r="B61" s="41" t="s">
        <v>140</v>
      </c>
      <c r="C61" s="40" t="s">
        <v>15</v>
      </c>
      <c r="D61" s="61"/>
      <c r="E61" s="62">
        <v>6201</v>
      </c>
      <c r="F61" s="62">
        <f t="shared" si="3"/>
        <v>0</v>
      </c>
      <c r="G61" s="14"/>
      <c r="H61" s="13" t="s">
        <v>10</v>
      </c>
      <c r="I61" s="19"/>
      <c r="J61" s="37"/>
    </row>
    <row r="62" spans="1:10" ht="16.5" hidden="1" customHeight="1">
      <c r="A62" s="19" t="s">
        <v>16</v>
      </c>
      <c r="B62" s="41" t="s">
        <v>24</v>
      </c>
      <c r="C62" s="41" t="s">
        <v>27</v>
      </c>
      <c r="D62" s="67"/>
      <c r="E62" s="62">
        <v>15</v>
      </c>
      <c r="F62" s="62">
        <f t="shared" si="3"/>
        <v>0</v>
      </c>
      <c r="G62" s="14"/>
      <c r="H62" s="13" t="s">
        <v>139</v>
      </c>
      <c r="I62" s="19"/>
      <c r="J62" s="37"/>
    </row>
    <row r="63" spans="1:10" hidden="1">
      <c r="A63" s="19" t="s">
        <v>19</v>
      </c>
      <c r="B63" s="41" t="s">
        <v>141</v>
      </c>
      <c r="C63" s="41" t="s">
        <v>27</v>
      </c>
      <c r="D63" s="67"/>
      <c r="E63" s="62">
        <v>40</v>
      </c>
      <c r="F63" s="62">
        <f t="shared" si="3"/>
        <v>0</v>
      </c>
      <c r="G63" s="14"/>
      <c r="H63" s="13" t="s">
        <v>139</v>
      </c>
      <c r="I63" s="19"/>
      <c r="J63" s="37"/>
    </row>
    <row r="64" spans="1:10" ht="16.5" hidden="1" customHeight="1">
      <c r="A64" s="26" t="s">
        <v>21</v>
      </c>
      <c r="B64" s="27" t="s">
        <v>20</v>
      </c>
      <c r="C64" s="27"/>
      <c r="D64" s="63"/>
      <c r="E64" s="64"/>
      <c r="F64" s="64">
        <f t="shared" si="3"/>
        <v>0</v>
      </c>
      <c r="G64" s="29"/>
      <c r="H64" s="28"/>
      <c r="I64" s="19"/>
      <c r="J64" s="37"/>
    </row>
    <row r="65" spans="1:10" ht="16.5" hidden="1" customHeight="1">
      <c r="A65" s="19" t="s">
        <v>35</v>
      </c>
      <c r="B65" s="21" t="s">
        <v>144</v>
      </c>
      <c r="C65" s="21"/>
      <c r="D65" s="61"/>
      <c r="E65" s="62"/>
      <c r="F65" s="62">
        <f>SUM(F59:F64)</f>
        <v>0</v>
      </c>
      <c r="G65" s="14"/>
      <c r="H65" s="13"/>
      <c r="I65" s="19"/>
      <c r="J65" s="37"/>
    </row>
    <row r="66" spans="1:10" ht="16.5" hidden="1" customHeight="1">
      <c r="A66" s="19"/>
      <c r="B66" s="13"/>
      <c r="C66" s="13"/>
      <c r="D66" s="61"/>
      <c r="E66" s="62"/>
      <c r="F66" s="62"/>
      <c r="G66" s="14"/>
      <c r="H66" s="13"/>
      <c r="I66" s="19"/>
      <c r="J66" s="37"/>
    </row>
    <row r="67" spans="1:10" ht="16.5" hidden="1" customHeight="1">
      <c r="A67" s="12">
        <v>7</v>
      </c>
      <c r="B67" s="7" t="s">
        <v>145</v>
      </c>
      <c r="C67" s="7"/>
      <c r="D67" s="61"/>
      <c r="E67" s="62"/>
      <c r="F67" s="62"/>
      <c r="G67" s="14"/>
      <c r="H67" s="13"/>
      <c r="I67" s="19"/>
      <c r="J67" s="37"/>
    </row>
    <row r="68" spans="1:10" ht="16.5" hidden="1" customHeight="1">
      <c r="A68" s="19" t="s">
        <v>8</v>
      </c>
      <c r="B68" s="41" t="s">
        <v>140</v>
      </c>
      <c r="C68" s="41" t="s">
        <v>15</v>
      </c>
      <c r="D68" s="61"/>
      <c r="E68" s="62">
        <v>6200</v>
      </c>
      <c r="F68" s="62">
        <f>0.001*D68*E68</f>
        <v>0</v>
      </c>
      <c r="G68" s="14"/>
      <c r="H68" s="13" t="s">
        <v>10</v>
      </c>
      <c r="I68" s="19"/>
      <c r="J68" s="37"/>
    </row>
    <row r="69" spans="1:10" ht="16.5" hidden="1" customHeight="1">
      <c r="A69" s="19" t="s">
        <v>11</v>
      </c>
      <c r="B69" s="40" t="s">
        <v>24</v>
      </c>
      <c r="C69" s="40" t="s">
        <v>27</v>
      </c>
      <c r="D69" s="67"/>
      <c r="E69" s="62">
        <v>20</v>
      </c>
      <c r="F69" s="62">
        <f>0.001*D69*E69</f>
        <v>0</v>
      </c>
      <c r="G69" s="14"/>
      <c r="H69" s="13" t="s">
        <v>146</v>
      </c>
      <c r="I69" s="19"/>
      <c r="J69" s="37"/>
    </row>
    <row r="70" spans="1:10" hidden="1">
      <c r="A70" s="19" t="s">
        <v>13</v>
      </c>
      <c r="B70" s="20" t="s">
        <v>147</v>
      </c>
      <c r="C70" s="20" t="s">
        <v>27</v>
      </c>
      <c r="D70" s="67"/>
      <c r="E70" s="62">
        <v>40</v>
      </c>
      <c r="F70" s="62">
        <f>0.001*D70*E70</f>
        <v>0</v>
      </c>
      <c r="G70" s="14"/>
      <c r="H70" s="13" t="s">
        <v>146</v>
      </c>
      <c r="I70" s="19"/>
      <c r="J70" s="37"/>
    </row>
    <row r="71" spans="1:10" ht="16.5" hidden="1" customHeight="1">
      <c r="A71" s="19" t="s">
        <v>16</v>
      </c>
      <c r="B71" s="20" t="s">
        <v>57</v>
      </c>
      <c r="C71" s="20" t="s">
        <v>27</v>
      </c>
      <c r="D71" s="61"/>
      <c r="E71" s="62">
        <v>450</v>
      </c>
      <c r="F71" s="62">
        <f>0.001*D71*E71</f>
        <v>0</v>
      </c>
      <c r="G71" s="14"/>
      <c r="H71" s="13" t="s">
        <v>10</v>
      </c>
      <c r="I71" s="19"/>
      <c r="J71" s="37"/>
    </row>
    <row r="72" spans="1:10" ht="16.5" hidden="1" customHeight="1">
      <c r="A72" s="26" t="s">
        <v>16</v>
      </c>
      <c r="B72" s="27" t="s">
        <v>20</v>
      </c>
      <c r="C72" s="27"/>
      <c r="D72" s="63"/>
      <c r="E72" s="64"/>
      <c r="F72" s="64">
        <f>0.001*D72*E72</f>
        <v>0</v>
      </c>
      <c r="G72" s="29"/>
      <c r="H72" s="28"/>
      <c r="I72" s="19"/>
      <c r="J72" s="37"/>
    </row>
    <row r="73" spans="1:10" ht="16.5" hidden="1" customHeight="1">
      <c r="A73" s="19" t="s">
        <v>19</v>
      </c>
      <c r="B73" s="39" t="s">
        <v>148</v>
      </c>
      <c r="C73" s="19"/>
      <c r="D73" s="61"/>
      <c r="E73" s="62"/>
      <c r="F73" s="62">
        <f>SUM(F68:F72)</f>
        <v>0</v>
      </c>
      <c r="G73" s="14"/>
      <c r="H73" s="13"/>
      <c r="I73" s="19"/>
      <c r="J73" s="37"/>
    </row>
    <row r="74" spans="1:10" ht="16.5" customHeight="1">
      <c r="A74" s="19"/>
      <c r="B74" s="13"/>
      <c r="C74" s="13"/>
      <c r="D74" s="61"/>
      <c r="E74" s="62"/>
      <c r="F74" s="62"/>
      <c r="G74" s="14"/>
      <c r="H74" s="13"/>
      <c r="I74" s="19"/>
      <c r="J74" s="37"/>
    </row>
    <row r="75" spans="1:10" ht="16.5" customHeight="1">
      <c r="A75" s="12">
        <v>8</v>
      </c>
      <c r="B75" s="7" t="s">
        <v>58</v>
      </c>
      <c r="C75" s="7"/>
      <c r="D75" s="61"/>
      <c r="E75" s="62"/>
      <c r="F75" s="62"/>
      <c r="G75" s="14"/>
      <c r="H75" s="13"/>
      <c r="I75" s="19"/>
      <c r="J75" s="37"/>
    </row>
    <row r="76" spans="1:10" ht="16.5" customHeight="1">
      <c r="A76" s="19" t="s">
        <v>8</v>
      </c>
      <c r="B76" s="23" t="s">
        <v>163</v>
      </c>
      <c r="C76" s="20"/>
      <c r="D76" s="61">
        <v>1</v>
      </c>
      <c r="E76" s="239">
        <v>40000</v>
      </c>
      <c r="F76" s="239">
        <f t="shared" ref="F76:F81" si="4">0.001*D76*E76</f>
        <v>40</v>
      </c>
      <c r="G76" s="240"/>
      <c r="H76" s="142" t="s">
        <v>396</v>
      </c>
      <c r="I76" s="19"/>
      <c r="J76" s="37"/>
    </row>
    <row r="77" spans="1:10" ht="16.5" customHeight="1">
      <c r="A77" s="19" t="s">
        <v>11</v>
      </c>
      <c r="B77" s="20" t="s">
        <v>59</v>
      </c>
      <c r="C77" s="20"/>
      <c r="D77" s="191">
        <v>0</v>
      </c>
      <c r="E77" s="239">
        <v>20000</v>
      </c>
      <c r="F77" s="239">
        <f t="shared" si="4"/>
        <v>0</v>
      </c>
      <c r="G77" s="240"/>
      <c r="H77" s="142" t="s">
        <v>245</v>
      </c>
      <c r="I77" s="19"/>
      <c r="J77" s="37"/>
    </row>
    <row r="78" spans="1:10" ht="16.5" customHeight="1">
      <c r="A78" s="19" t="s">
        <v>13</v>
      </c>
      <c r="B78" s="20" t="s">
        <v>60</v>
      </c>
      <c r="C78" s="20"/>
      <c r="D78" s="61">
        <v>0</v>
      </c>
      <c r="E78" s="62">
        <v>5000</v>
      </c>
      <c r="F78" s="62">
        <f t="shared" si="4"/>
        <v>0</v>
      </c>
      <c r="G78" s="14"/>
      <c r="H78" s="142" t="s">
        <v>378</v>
      </c>
      <c r="I78" s="19"/>
      <c r="J78" s="37"/>
    </row>
    <row r="79" spans="1:10" ht="16.5" customHeight="1">
      <c r="A79" s="39" t="s">
        <v>16</v>
      </c>
      <c r="B79" s="23" t="s">
        <v>61</v>
      </c>
      <c r="C79" s="23" t="s">
        <v>15</v>
      </c>
      <c r="D79" s="191">
        <v>3</v>
      </c>
      <c r="E79" s="239">
        <v>60000</v>
      </c>
      <c r="F79" s="239">
        <f t="shared" si="4"/>
        <v>180</v>
      </c>
      <c r="G79" s="240"/>
      <c r="H79" s="142" t="s">
        <v>399</v>
      </c>
      <c r="I79" s="19"/>
      <c r="J79" s="37"/>
    </row>
    <row r="80" spans="1:10" ht="16.5" customHeight="1">
      <c r="A80" s="39" t="s">
        <v>19</v>
      </c>
      <c r="B80" s="20" t="s">
        <v>62</v>
      </c>
      <c r="C80" s="20"/>
      <c r="D80" s="61">
        <v>1</v>
      </c>
      <c r="E80" s="62">
        <v>20000</v>
      </c>
      <c r="F80" s="62">
        <f t="shared" si="4"/>
        <v>20</v>
      </c>
      <c r="G80" s="14"/>
      <c r="H80" s="13" t="s">
        <v>10</v>
      </c>
      <c r="I80" s="19"/>
      <c r="J80" s="37"/>
    </row>
    <row r="81" spans="1:15" ht="16.5" customHeight="1">
      <c r="A81" s="42" t="s">
        <v>21</v>
      </c>
      <c r="B81" s="27" t="s">
        <v>149</v>
      </c>
      <c r="C81" s="27"/>
      <c r="D81" s="63">
        <v>1</v>
      </c>
      <c r="E81" s="64">
        <v>7500</v>
      </c>
      <c r="F81" s="64">
        <f t="shared" si="4"/>
        <v>7.5</v>
      </c>
      <c r="G81" s="29"/>
      <c r="H81" s="28" t="s">
        <v>10</v>
      </c>
      <c r="I81" s="19"/>
      <c r="J81" s="37"/>
    </row>
    <row r="82" spans="1:15" ht="16.5" customHeight="1">
      <c r="A82" s="39" t="s">
        <v>35</v>
      </c>
      <c r="B82" s="39" t="s">
        <v>63</v>
      </c>
      <c r="C82" s="13"/>
      <c r="D82" s="61"/>
      <c r="E82" s="62"/>
      <c r="F82" s="62">
        <f>SUM(F76:F81)</f>
        <v>247.5</v>
      </c>
      <c r="G82" s="14"/>
      <c r="H82" s="13"/>
      <c r="I82" s="19"/>
      <c r="J82" s="37"/>
    </row>
    <row r="83" spans="1:15" ht="16.5" customHeight="1">
      <c r="A83" s="19"/>
      <c r="B83" s="13"/>
      <c r="C83" s="13"/>
      <c r="D83" s="61"/>
      <c r="E83" s="62"/>
      <c r="F83" s="62"/>
      <c r="G83" s="14"/>
      <c r="H83" s="13"/>
      <c r="I83" s="19"/>
      <c r="J83" s="37"/>
    </row>
    <row r="84" spans="1:15" ht="16.5" customHeight="1">
      <c r="A84" s="12">
        <v>9</v>
      </c>
      <c r="B84" s="7" t="s">
        <v>247</v>
      </c>
      <c r="C84" s="7"/>
      <c r="D84" s="61"/>
      <c r="E84" s="62"/>
      <c r="F84" s="62"/>
      <c r="G84" s="14"/>
      <c r="H84" s="13"/>
      <c r="I84" s="19"/>
      <c r="J84" s="37"/>
    </row>
    <row r="85" spans="1:15" ht="16.5" customHeight="1">
      <c r="A85" s="19" t="s">
        <v>8</v>
      </c>
      <c r="B85" s="172" t="s">
        <v>248</v>
      </c>
      <c r="C85" s="41" t="s">
        <v>64</v>
      </c>
      <c r="D85" s="191">
        <v>3</v>
      </c>
      <c r="E85" s="239">
        <v>50000</v>
      </c>
      <c r="F85" s="239">
        <f t="shared" ref="F85:F90" si="5">0.001*D85*E85</f>
        <v>150</v>
      </c>
      <c r="G85" s="240"/>
      <c r="H85" s="142" t="s">
        <v>10</v>
      </c>
      <c r="I85" s="19"/>
      <c r="J85" s="37"/>
    </row>
    <row r="86" spans="1:15" ht="16.5" customHeight="1">
      <c r="A86" s="19" t="s">
        <v>11</v>
      </c>
      <c r="B86" s="41" t="s">
        <v>65</v>
      </c>
      <c r="C86" s="41" t="s">
        <v>64</v>
      </c>
      <c r="D86" s="191">
        <v>3</v>
      </c>
      <c r="E86" s="239">
        <v>75000</v>
      </c>
      <c r="F86" s="239">
        <f t="shared" si="5"/>
        <v>225</v>
      </c>
      <c r="G86" s="240"/>
      <c r="H86" s="142" t="s">
        <v>397</v>
      </c>
      <c r="I86" s="19"/>
      <c r="J86" s="37"/>
    </row>
    <row r="87" spans="1:15" ht="16.5" customHeight="1">
      <c r="A87" s="19" t="s">
        <v>13</v>
      </c>
      <c r="B87" s="172" t="s">
        <v>249</v>
      </c>
      <c r="C87" s="41"/>
      <c r="D87" s="191">
        <v>1</v>
      </c>
      <c r="E87" s="239">
        <v>50000</v>
      </c>
      <c r="F87" s="239">
        <f t="shared" si="5"/>
        <v>50</v>
      </c>
      <c r="G87" s="240"/>
      <c r="H87" s="142" t="s">
        <v>10</v>
      </c>
      <c r="I87" s="19"/>
      <c r="J87" s="37"/>
    </row>
    <row r="88" spans="1:15">
      <c r="A88" s="19" t="s">
        <v>16</v>
      </c>
      <c r="B88" s="172" t="s">
        <v>250</v>
      </c>
      <c r="C88" s="41"/>
      <c r="D88" s="191">
        <v>1</v>
      </c>
      <c r="E88" s="239">
        <v>25000</v>
      </c>
      <c r="F88" s="239">
        <f t="shared" si="5"/>
        <v>25</v>
      </c>
      <c r="G88" s="240"/>
      <c r="H88" s="142" t="s">
        <v>10</v>
      </c>
      <c r="I88" s="19"/>
      <c r="J88" s="37"/>
    </row>
    <row r="89" spans="1:15" ht="16.5" customHeight="1">
      <c r="A89" s="19" t="s">
        <v>19</v>
      </c>
      <c r="B89" s="41" t="s">
        <v>66</v>
      </c>
      <c r="C89" s="41"/>
      <c r="D89" s="191">
        <v>1</v>
      </c>
      <c r="E89" s="239">
        <v>25000</v>
      </c>
      <c r="F89" s="239">
        <f t="shared" si="5"/>
        <v>25</v>
      </c>
      <c r="G89" s="240"/>
      <c r="H89" s="142" t="s">
        <v>10</v>
      </c>
      <c r="I89" s="19"/>
      <c r="J89" s="37"/>
      <c r="O89" s="11">
        <f>800*150</f>
        <v>120000</v>
      </c>
    </row>
    <row r="90" spans="1:15" ht="16.5" customHeight="1">
      <c r="A90" s="26" t="s">
        <v>21</v>
      </c>
      <c r="B90" s="192" t="s">
        <v>251</v>
      </c>
      <c r="C90" s="27"/>
      <c r="D90" s="184">
        <v>1</v>
      </c>
      <c r="E90" s="242">
        <v>50000</v>
      </c>
      <c r="F90" s="242">
        <f t="shared" si="5"/>
        <v>50</v>
      </c>
      <c r="G90" s="243"/>
      <c r="H90" s="238" t="s">
        <v>273</v>
      </c>
      <c r="I90" s="19"/>
      <c r="J90" s="37"/>
    </row>
    <row r="91" spans="1:15" ht="16.5" customHeight="1">
      <c r="A91" s="19" t="s">
        <v>35</v>
      </c>
      <c r="B91" s="185" t="s">
        <v>322</v>
      </c>
      <c r="C91" s="21"/>
      <c r="D91" s="61"/>
      <c r="E91" s="62"/>
      <c r="F91" s="62">
        <f>SUM(F85:F90)</f>
        <v>525</v>
      </c>
      <c r="G91" s="14"/>
      <c r="H91" s="13"/>
      <c r="I91" s="19"/>
      <c r="J91" s="37"/>
    </row>
    <row r="92" spans="1:15" ht="16.5" customHeight="1">
      <c r="A92" s="19"/>
      <c r="B92" s="13"/>
      <c r="C92" s="13"/>
      <c r="D92" s="61"/>
      <c r="E92" s="62"/>
      <c r="F92" s="62"/>
      <c r="G92" s="14"/>
      <c r="H92" s="13"/>
      <c r="I92" s="19"/>
      <c r="J92" s="37"/>
    </row>
    <row r="93" spans="1:15" ht="16.5" customHeight="1">
      <c r="A93" s="12">
        <v>10</v>
      </c>
      <c r="B93" s="7" t="s">
        <v>67</v>
      </c>
      <c r="C93" s="7"/>
      <c r="D93" s="61"/>
      <c r="E93" s="62"/>
      <c r="F93" s="62"/>
      <c r="G93" s="14"/>
      <c r="H93" s="13"/>
      <c r="I93" s="19"/>
      <c r="J93" s="37"/>
    </row>
    <row r="94" spans="1:15" ht="16.5" customHeight="1">
      <c r="A94" s="19" t="s">
        <v>8</v>
      </c>
      <c r="B94" s="41" t="s">
        <v>68</v>
      </c>
      <c r="C94" s="41"/>
      <c r="D94" s="69">
        <v>1</v>
      </c>
      <c r="E94" s="66">
        <v>5000</v>
      </c>
      <c r="F94" s="62">
        <f>0.001*D94*E94</f>
        <v>5</v>
      </c>
      <c r="G94" s="14"/>
      <c r="H94" s="13" t="s">
        <v>10</v>
      </c>
      <c r="I94" s="19"/>
      <c r="J94" s="37"/>
    </row>
    <row r="95" spans="1:15">
      <c r="A95" s="19" t="s">
        <v>11</v>
      </c>
      <c r="B95" s="41" t="s">
        <v>69</v>
      </c>
      <c r="C95" s="41"/>
      <c r="D95" s="246">
        <v>1</v>
      </c>
      <c r="E95" s="247">
        <v>20000</v>
      </c>
      <c r="F95" s="239">
        <f>0.001*D95*E95</f>
        <v>20</v>
      </c>
      <c r="G95" s="240"/>
      <c r="H95" s="176" t="s">
        <v>290</v>
      </c>
      <c r="I95" s="19"/>
      <c r="J95" s="37"/>
    </row>
    <row r="96" spans="1:15" ht="16.5" customHeight="1">
      <c r="A96" s="19" t="s">
        <v>13</v>
      </c>
      <c r="B96" s="41" t="s">
        <v>70</v>
      </c>
      <c r="C96" s="41"/>
      <c r="D96" s="69">
        <v>1</v>
      </c>
      <c r="E96" s="66">
        <v>5000</v>
      </c>
      <c r="F96" s="62">
        <f>0.001*D96*E96</f>
        <v>5</v>
      </c>
      <c r="G96" s="14"/>
      <c r="H96" s="13" t="s">
        <v>10</v>
      </c>
      <c r="I96" s="19"/>
      <c r="J96" s="37"/>
    </row>
    <row r="97" spans="1:10" ht="15.75" customHeight="1">
      <c r="A97" s="19" t="s">
        <v>16</v>
      </c>
      <c r="B97" s="41" t="s">
        <v>71</v>
      </c>
      <c r="C97" s="41"/>
      <c r="D97" s="69">
        <v>1</v>
      </c>
      <c r="E97" s="66">
        <v>10000</v>
      </c>
      <c r="F97" s="62">
        <f>0.001*D97*E97</f>
        <v>10</v>
      </c>
      <c r="G97" s="14"/>
      <c r="H97" s="13" t="s">
        <v>10</v>
      </c>
      <c r="I97" s="19"/>
      <c r="J97" s="37"/>
    </row>
    <row r="98" spans="1:10" ht="16.5" customHeight="1">
      <c r="A98" s="26" t="s">
        <v>19</v>
      </c>
      <c r="B98" s="27" t="s">
        <v>20</v>
      </c>
      <c r="C98" s="27"/>
      <c r="D98" s="63"/>
      <c r="E98" s="64"/>
      <c r="F98" s="64">
        <f>0.001*D98*E98</f>
        <v>0</v>
      </c>
      <c r="G98" s="29"/>
      <c r="H98" s="28"/>
      <c r="I98" s="19"/>
      <c r="J98" s="37"/>
    </row>
    <row r="99" spans="1:10" ht="16.5" customHeight="1">
      <c r="A99" s="19" t="s">
        <v>21</v>
      </c>
      <c r="B99" s="39" t="s">
        <v>72</v>
      </c>
      <c r="C99" s="39"/>
      <c r="D99" s="61"/>
      <c r="E99" s="62"/>
      <c r="F99" s="62">
        <f>SUM(F94:F98)</f>
        <v>40</v>
      </c>
      <c r="G99" s="14"/>
      <c r="H99" s="13"/>
      <c r="I99" s="19"/>
      <c r="J99" s="37"/>
    </row>
    <row r="100" spans="1:10" ht="16.5" customHeight="1">
      <c r="A100" s="13"/>
      <c r="B100" s="13"/>
      <c r="C100" s="13"/>
      <c r="D100" s="61"/>
      <c r="E100" s="62"/>
      <c r="F100" s="62"/>
      <c r="G100" s="14"/>
      <c r="H100" s="13"/>
      <c r="I100" s="19"/>
      <c r="J100" s="37"/>
    </row>
    <row r="101" spans="1:10" ht="16.5" customHeight="1">
      <c r="A101" s="12">
        <v>11</v>
      </c>
      <c r="B101" s="7" t="s">
        <v>73</v>
      </c>
      <c r="C101" s="7"/>
      <c r="D101" s="61"/>
      <c r="E101" s="62"/>
      <c r="F101" s="62"/>
      <c r="G101" s="14"/>
      <c r="H101" s="13"/>
      <c r="I101" s="19"/>
      <c r="J101" s="37"/>
    </row>
    <row r="102" spans="1:10" ht="16.5" customHeight="1">
      <c r="A102" s="19" t="s">
        <v>8</v>
      </c>
      <c r="B102" s="20" t="s">
        <v>14</v>
      </c>
      <c r="C102" s="20" t="s">
        <v>15</v>
      </c>
      <c r="D102" s="191">
        <v>1</v>
      </c>
      <c r="E102" s="239">
        <v>6200</v>
      </c>
      <c r="F102" s="239">
        <f>0.001*D102*E102</f>
        <v>6.2</v>
      </c>
      <c r="G102" s="240"/>
      <c r="H102" s="142" t="s">
        <v>10</v>
      </c>
      <c r="I102" s="19"/>
      <c r="J102" s="37"/>
    </row>
    <row r="103" spans="1:10" ht="16.5" customHeight="1">
      <c r="A103" s="19" t="s">
        <v>11</v>
      </c>
      <c r="B103" s="20" t="s">
        <v>74</v>
      </c>
      <c r="C103" s="20"/>
      <c r="D103" s="191">
        <v>1</v>
      </c>
      <c r="E103" s="239">
        <f>'Interconnect Costs'!K6</f>
        <v>52000</v>
      </c>
      <c r="F103" s="239">
        <f>0.001*D103*E103</f>
        <v>52</v>
      </c>
      <c r="G103" s="240"/>
      <c r="H103" s="142" t="s">
        <v>274</v>
      </c>
      <c r="I103" s="19"/>
      <c r="J103" s="37"/>
    </row>
    <row r="104" spans="1:10" ht="16.5" customHeight="1">
      <c r="A104" s="19" t="s">
        <v>13</v>
      </c>
      <c r="B104" s="20" t="s">
        <v>75</v>
      </c>
      <c r="C104" s="20"/>
      <c r="D104" s="191">
        <v>1</v>
      </c>
      <c r="E104" s="239">
        <v>10000</v>
      </c>
      <c r="F104" s="239">
        <f>0.001*D104*E104</f>
        <v>10</v>
      </c>
      <c r="G104" s="240"/>
      <c r="H104" s="142" t="s">
        <v>10</v>
      </c>
      <c r="I104" s="19"/>
      <c r="J104" s="37"/>
    </row>
    <row r="105" spans="1:10" ht="32.25" customHeight="1">
      <c r="A105" s="19" t="s">
        <v>13</v>
      </c>
      <c r="B105" s="20" t="s">
        <v>76</v>
      </c>
      <c r="C105" s="20"/>
      <c r="D105" s="191">
        <v>1</v>
      </c>
      <c r="E105" s="239">
        <f>'Interconnect Costs'!K7+'Interconnect Costs'!K8+'Interconnect Costs'!K9</f>
        <v>50000</v>
      </c>
      <c r="F105" s="239">
        <f>0.001*D105*E105</f>
        <v>50</v>
      </c>
      <c r="G105" s="240"/>
      <c r="H105" s="142" t="s">
        <v>267</v>
      </c>
      <c r="I105" s="19"/>
      <c r="J105" s="37"/>
    </row>
    <row r="106" spans="1:10" ht="16.5" customHeight="1">
      <c r="A106" s="26" t="s">
        <v>16</v>
      </c>
      <c r="B106" s="192" t="s">
        <v>248</v>
      </c>
      <c r="C106" s="27"/>
      <c r="D106" s="184">
        <v>1</v>
      </c>
      <c r="E106" s="242">
        <v>20000</v>
      </c>
      <c r="F106" s="242">
        <f>0.001*D106*E106</f>
        <v>20</v>
      </c>
      <c r="G106" s="243"/>
      <c r="H106" s="238" t="s">
        <v>10</v>
      </c>
      <c r="I106" s="19"/>
      <c r="J106" s="37"/>
    </row>
    <row r="107" spans="1:10">
      <c r="A107" s="19" t="s">
        <v>21</v>
      </c>
      <c r="B107" s="19" t="s">
        <v>77</v>
      </c>
      <c r="C107" s="19"/>
      <c r="D107" s="191"/>
      <c r="E107" s="239"/>
      <c r="F107" s="239">
        <f>SUM(F102:F106)</f>
        <v>138.19999999999999</v>
      </c>
      <c r="G107" s="240"/>
      <c r="H107" s="142"/>
      <c r="I107" s="19"/>
      <c r="J107" s="37"/>
    </row>
    <row r="108" spans="1:10" ht="16.5" customHeight="1">
      <c r="A108" s="13"/>
      <c r="B108" s="13"/>
      <c r="C108" s="13"/>
      <c r="D108" s="61"/>
      <c r="E108" s="62"/>
      <c r="F108" s="62"/>
      <c r="G108" s="14"/>
      <c r="H108" s="13"/>
      <c r="I108" s="19"/>
      <c r="J108" s="37"/>
    </row>
    <row r="109" spans="1:10" ht="16.5" customHeight="1">
      <c r="A109" s="12">
        <v>12</v>
      </c>
      <c r="B109" s="7" t="s">
        <v>78</v>
      </c>
      <c r="C109" s="7"/>
      <c r="D109" s="61"/>
      <c r="E109" s="62"/>
      <c r="F109" s="62"/>
      <c r="G109" s="14"/>
      <c r="H109" s="13"/>
      <c r="I109" s="19"/>
      <c r="J109" s="37"/>
    </row>
    <row r="110" spans="1:10" ht="16.5" customHeight="1">
      <c r="A110" s="19" t="s">
        <v>8</v>
      </c>
      <c r="B110" s="20" t="s">
        <v>79</v>
      </c>
      <c r="C110" s="20"/>
      <c r="D110" s="61">
        <v>1</v>
      </c>
      <c r="E110" s="62">
        <f>F130*1000*0.08</f>
        <v>293827.66817160102</v>
      </c>
      <c r="F110" s="62">
        <f t="shared" ref="F110:F115" si="6">0.001*D110*E110</f>
        <v>293.82766817160103</v>
      </c>
      <c r="G110" s="14"/>
      <c r="H110" s="36" t="s">
        <v>164</v>
      </c>
      <c r="I110" s="19"/>
      <c r="J110" s="37"/>
    </row>
    <row r="111" spans="1:10">
      <c r="A111" s="19" t="s">
        <v>11</v>
      </c>
      <c r="B111" s="20" t="s">
        <v>80</v>
      </c>
      <c r="C111" s="20"/>
      <c r="D111" s="61">
        <v>1</v>
      </c>
      <c r="E111" s="62">
        <v>25000</v>
      </c>
      <c r="F111" s="62">
        <f t="shared" si="6"/>
        <v>25</v>
      </c>
      <c r="G111" s="14"/>
      <c r="H111" s="13" t="s">
        <v>10</v>
      </c>
      <c r="I111" s="19"/>
      <c r="J111" s="37"/>
    </row>
    <row r="112" spans="1:10" ht="16.5" customHeight="1">
      <c r="A112" s="19" t="s">
        <v>13</v>
      </c>
      <c r="B112" s="20" t="s">
        <v>81</v>
      </c>
      <c r="C112" s="20"/>
      <c r="D112" s="61">
        <v>1</v>
      </c>
      <c r="E112" s="62">
        <v>20000</v>
      </c>
      <c r="F112" s="62">
        <f t="shared" si="6"/>
        <v>20</v>
      </c>
      <c r="G112" s="14"/>
      <c r="H112" s="13" t="s">
        <v>82</v>
      </c>
      <c r="I112" s="19"/>
      <c r="J112" s="37"/>
    </row>
    <row r="113" spans="1:10" ht="16.5" customHeight="1">
      <c r="A113" s="19" t="s">
        <v>16</v>
      </c>
      <c r="B113" s="20" t="s">
        <v>83</v>
      </c>
      <c r="C113" s="20"/>
      <c r="D113" s="61">
        <v>1</v>
      </c>
      <c r="E113" s="62">
        <v>35000</v>
      </c>
      <c r="F113" s="62">
        <f t="shared" si="6"/>
        <v>35</v>
      </c>
      <c r="G113" s="14"/>
      <c r="H113" s="13" t="s">
        <v>91</v>
      </c>
      <c r="I113" s="19"/>
      <c r="J113" s="37"/>
    </row>
    <row r="114" spans="1:10">
      <c r="A114" s="19" t="s">
        <v>19</v>
      </c>
      <c r="B114" s="20" t="s">
        <v>84</v>
      </c>
      <c r="C114" s="20"/>
      <c r="D114" s="61">
        <v>1</v>
      </c>
      <c r="E114" s="62">
        <v>100000</v>
      </c>
      <c r="F114" s="62">
        <f t="shared" si="6"/>
        <v>100</v>
      </c>
      <c r="G114" s="14"/>
      <c r="H114" s="13" t="s">
        <v>10</v>
      </c>
      <c r="I114" s="19"/>
      <c r="J114" s="37"/>
    </row>
    <row r="115" spans="1:10" ht="16.5" customHeight="1">
      <c r="A115" s="26" t="s">
        <v>21</v>
      </c>
      <c r="B115" s="27" t="s">
        <v>20</v>
      </c>
      <c r="C115" s="27"/>
      <c r="D115" s="63"/>
      <c r="E115" s="64"/>
      <c r="F115" s="64">
        <f t="shared" si="6"/>
        <v>0</v>
      </c>
      <c r="G115" s="29"/>
      <c r="H115" s="28"/>
      <c r="I115" s="19"/>
      <c r="J115" s="37"/>
    </row>
    <row r="116" spans="1:10" ht="16.5" customHeight="1">
      <c r="A116" s="19" t="s">
        <v>35</v>
      </c>
      <c r="B116" s="19" t="s">
        <v>85</v>
      </c>
      <c r="C116" s="19"/>
      <c r="D116" s="61"/>
      <c r="E116" s="62"/>
      <c r="F116" s="62">
        <f>SUM(F110:F115)</f>
        <v>473.82766817160103</v>
      </c>
      <c r="G116" s="14"/>
      <c r="H116" s="13"/>
      <c r="I116" s="19"/>
      <c r="J116" s="37"/>
    </row>
    <row r="117" spans="1:10" ht="16.5" customHeight="1">
      <c r="A117" s="13"/>
      <c r="B117" s="13"/>
      <c r="C117" s="13"/>
      <c r="D117" s="61"/>
      <c r="E117" s="62"/>
      <c r="F117" s="62"/>
      <c r="G117" s="14"/>
      <c r="H117" s="13"/>
      <c r="I117" s="19"/>
      <c r="J117" s="37"/>
    </row>
    <row r="118" spans="1:10" ht="16.5" customHeight="1">
      <c r="A118" s="12"/>
      <c r="B118" s="7" t="s">
        <v>86</v>
      </c>
      <c r="C118" s="7"/>
      <c r="D118" s="61"/>
      <c r="E118" s="62"/>
      <c r="F118" s="62"/>
      <c r="G118" s="14"/>
      <c r="H118" s="13"/>
      <c r="I118" s="19"/>
      <c r="J118" s="37"/>
    </row>
    <row r="119" spans="1:10" ht="16.5" customHeight="1">
      <c r="A119" s="12">
        <f>A$2</f>
        <v>1</v>
      </c>
      <c r="B119" s="13" t="str">
        <f>B$2</f>
        <v>General</v>
      </c>
      <c r="C119" s="13"/>
      <c r="D119" s="61"/>
      <c r="E119" s="62"/>
      <c r="F119" s="62">
        <f>F$8</f>
        <v>177</v>
      </c>
      <c r="G119" s="14"/>
      <c r="H119" s="13"/>
      <c r="I119" s="19"/>
      <c r="J119" s="37"/>
    </row>
    <row r="120" spans="1:10" ht="16.5" customHeight="1">
      <c r="A120" s="12">
        <f>A$10</f>
        <v>2</v>
      </c>
      <c r="B120" s="13" t="str">
        <f>B$10</f>
        <v>Powerhouse/Intake</v>
      </c>
      <c r="C120" s="13"/>
      <c r="D120" s="61"/>
      <c r="E120" s="62"/>
      <c r="F120" s="62">
        <f>F$30</f>
        <v>1824.8941401450134</v>
      </c>
      <c r="G120" s="14"/>
      <c r="H120" s="13"/>
      <c r="I120" s="19"/>
      <c r="J120" s="37"/>
    </row>
    <row r="121" spans="1:10" ht="16.5" customHeight="1">
      <c r="A121" s="12">
        <f>A$32</f>
        <v>3</v>
      </c>
      <c r="B121" s="13" t="str">
        <f>B$32</f>
        <v>Equipment</v>
      </c>
      <c r="C121" s="13"/>
      <c r="D121" s="61"/>
      <c r="E121" s="62"/>
      <c r="F121" s="62">
        <f>F$39</f>
        <v>720.251712</v>
      </c>
      <c r="G121" s="14"/>
      <c r="H121" s="13"/>
      <c r="I121" s="19"/>
      <c r="J121" s="37"/>
    </row>
    <row r="122" spans="1:10" ht="16.5" hidden="1" customHeight="1">
      <c r="A122" s="43">
        <f>A$41</f>
        <v>4</v>
      </c>
      <c r="B122" s="11" t="str">
        <f>B$41</f>
        <v xml:space="preserve">Spillway </v>
      </c>
      <c r="E122" s="66"/>
      <c r="F122" s="66">
        <f>F$47</f>
        <v>0</v>
      </c>
      <c r="G122" s="44"/>
      <c r="I122" s="19"/>
      <c r="J122" s="37"/>
    </row>
    <row r="123" spans="1:10" ht="16.5" hidden="1" customHeight="1">
      <c r="A123" s="43">
        <f>A$49</f>
        <v>5</v>
      </c>
      <c r="B123" s="11" t="str">
        <f>B$49</f>
        <v>East (left) Dike</v>
      </c>
      <c r="E123" s="66"/>
      <c r="F123" s="66">
        <f>F$56</f>
        <v>0</v>
      </c>
      <c r="G123" s="33"/>
      <c r="I123" s="19"/>
      <c r="J123" s="37"/>
    </row>
    <row r="124" spans="1:10" ht="16.5" hidden="1" customHeight="1">
      <c r="A124" s="43">
        <f>A$58</f>
        <v>5</v>
      </c>
      <c r="B124" s="11" t="str">
        <f>B$58</f>
        <v>West (right) Dike</v>
      </c>
      <c r="E124" s="66"/>
      <c r="F124" s="66">
        <f>F$65</f>
        <v>0</v>
      </c>
      <c r="G124" s="33"/>
      <c r="I124" s="19"/>
      <c r="J124" s="37"/>
    </row>
    <row r="125" spans="1:10" ht="16.5" hidden="1" customHeight="1">
      <c r="A125" s="43">
        <f>A$67</f>
        <v>7</v>
      </c>
      <c r="B125" s="11" t="str">
        <f>B$67</f>
        <v>Canal</v>
      </c>
      <c r="E125" s="66"/>
      <c r="F125" s="66">
        <f>F$73</f>
        <v>0</v>
      </c>
      <c r="G125" s="33"/>
      <c r="I125" s="19"/>
      <c r="J125" s="37"/>
    </row>
    <row r="126" spans="1:10" ht="16.5" customHeight="1">
      <c r="A126" s="43">
        <f>A$75</f>
        <v>8</v>
      </c>
      <c r="B126" s="11" t="str">
        <f>B$75</f>
        <v>PM&amp;E Measures</v>
      </c>
      <c r="E126" s="66"/>
      <c r="F126" s="66">
        <f>F$82</f>
        <v>247.5</v>
      </c>
      <c r="G126" s="33"/>
      <c r="I126" s="19"/>
      <c r="J126" s="37"/>
    </row>
    <row r="127" spans="1:10" ht="16.5" customHeight="1">
      <c r="A127" s="43">
        <f>A$84</f>
        <v>9</v>
      </c>
      <c r="B127" s="176" t="s">
        <v>247</v>
      </c>
      <c r="E127" s="66"/>
      <c r="F127" s="66">
        <f>F$91</f>
        <v>525</v>
      </c>
      <c r="G127" s="33"/>
      <c r="I127" s="19"/>
      <c r="J127" s="37"/>
    </row>
    <row r="128" spans="1:10" ht="16.5" customHeight="1">
      <c r="A128" s="43">
        <f>A$93</f>
        <v>10</v>
      </c>
      <c r="B128" s="11" t="str">
        <f>B$93</f>
        <v>Land &amp; Land Rights</v>
      </c>
      <c r="E128" s="66"/>
      <c r="F128" s="66">
        <f>F$99</f>
        <v>40</v>
      </c>
      <c r="G128" s="33"/>
      <c r="I128" s="19"/>
      <c r="J128" s="37"/>
    </row>
    <row r="129" spans="1:10" ht="16.5" customHeight="1">
      <c r="A129" s="45">
        <f>A$101</f>
        <v>11</v>
      </c>
      <c r="B129" s="46" t="str">
        <f>B$101</f>
        <v>Interconnection</v>
      </c>
      <c r="C129" s="46"/>
      <c r="D129" s="70"/>
      <c r="E129" s="71"/>
      <c r="F129" s="71">
        <f>F$107</f>
        <v>138.19999999999999</v>
      </c>
      <c r="G129" s="47"/>
      <c r="H129" s="183"/>
      <c r="I129" s="19"/>
      <c r="J129" s="37"/>
    </row>
    <row r="130" spans="1:10" ht="16.5" customHeight="1">
      <c r="A130" s="43"/>
      <c r="B130" s="48" t="s">
        <v>87</v>
      </c>
      <c r="C130" s="48"/>
      <c r="E130" s="66"/>
      <c r="F130" s="66">
        <f>SUM(F119:F129)</f>
        <v>3672.8458521450129</v>
      </c>
      <c r="G130" s="33"/>
      <c r="I130" s="19"/>
      <c r="J130" s="37"/>
    </row>
    <row r="131" spans="1:10" ht="16.5" customHeight="1">
      <c r="A131" s="43"/>
      <c r="B131" s="48"/>
      <c r="C131" s="48"/>
      <c r="E131" s="66"/>
      <c r="F131" s="66"/>
      <c r="G131" s="33"/>
      <c r="I131" s="19"/>
      <c r="J131" s="37"/>
    </row>
    <row r="132" spans="1:10" ht="16.5" customHeight="1">
      <c r="A132" s="45">
        <f>A$109</f>
        <v>12</v>
      </c>
      <c r="B132" s="46" t="str">
        <f>B$109</f>
        <v>Indirect Costs</v>
      </c>
      <c r="C132" s="46"/>
      <c r="D132" s="70"/>
      <c r="E132" s="71"/>
      <c r="F132" s="71">
        <f>F$116</f>
        <v>473.82766817160103</v>
      </c>
      <c r="G132" s="47"/>
      <c r="H132" s="46"/>
      <c r="I132" s="19"/>
      <c r="J132" s="37"/>
    </row>
    <row r="133" spans="1:10" ht="16.5" customHeight="1">
      <c r="A133" s="43"/>
      <c r="B133" s="48" t="s">
        <v>88</v>
      </c>
      <c r="C133" s="48"/>
      <c r="E133" s="66"/>
      <c r="F133" s="72">
        <f>F$130+F$132</f>
        <v>4146.6735203166136</v>
      </c>
      <c r="G133" s="49"/>
      <c r="I133" s="19"/>
      <c r="J133" s="37"/>
    </row>
    <row r="134" spans="1:10" ht="16.5" customHeight="1">
      <c r="A134" s="43"/>
      <c r="B134" s="48"/>
      <c r="C134" s="48"/>
      <c r="E134" s="66"/>
      <c r="F134" s="72"/>
      <c r="G134" s="49"/>
      <c r="I134" s="19"/>
      <c r="J134" s="37"/>
    </row>
    <row r="135" spans="1:10" ht="16.5" customHeight="1">
      <c r="A135" s="45">
        <v>13</v>
      </c>
      <c r="B135" s="46" t="s">
        <v>89</v>
      </c>
      <c r="C135" s="46"/>
      <c r="D135" s="73">
        <f>F$133*1000</f>
        <v>4146673.5203166134</v>
      </c>
      <c r="E135" s="245">
        <v>0.2</v>
      </c>
      <c r="F135" s="71">
        <f>D135*E135*0.001</f>
        <v>829.33470406332276</v>
      </c>
      <c r="G135" s="47"/>
      <c r="H135" s="46"/>
      <c r="I135" s="19"/>
      <c r="J135" s="37"/>
    </row>
    <row r="136" spans="1:10" ht="16.5" customHeight="1">
      <c r="E136" s="66"/>
      <c r="F136" s="66"/>
      <c r="G136" s="33"/>
      <c r="I136" s="19"/>
      <c r="J136" s="37"/>
    </row>
    <row r="137" spans="1:10" ht="16.5" customHeight="1">
      <c r="A137" s="12"/>
      <c r="B137" s="50" t="s">
        <v>90</v>
      </c>
      <c r="C137" s="7"/>
      <c r="D137" s="61"/>
      <c r="E137" s="62"/>
      <c r="F137" s="60">
        <f>F$133+F$135</f>
        <v>4976.0082243799361</v>
      </c>
      <c r="G137" s="8"/>
      <c r="H137" s="13"/>
      <c r="I137" s="19"/>
      <c r="J137" s="37"/>
    </row>
    <row r="138" spans="1:10">
      <c r="I138" s="19"/>
      <c r="J138" s="37"/>
    </row>
    <row r="139" spans="1:10">
      <c r="I139" s="19"/>
      <c r="J139" s="37"/>
    </row>
    <row r="140" spans="1:10">
      <c r="I140" s="19"/>
      <c r="J140" s="37"/>
    </row>
    <row r="141" spans="1:10">
      <c r="I141" s="19"/>
      <c r="J141" s="37"/>
    </row>
    <row r="142" spans="1:10">
      <c r="I142" s="19"/>
      <c r="J142" s="37"/>
    </row>
    <row r="143" spans="1:10">
      <c r="I143" s="19"/>
      <c r="J143" s="37"/>
    </row>
    <row r="144" spans="1:10">
      <c r="I144" s="19"/>
      <c r="J144" s="37"/>
    </row>
    <row r="145" spans="9:10">
      <c r="I145" s="19"/>
      <c r="J145" s="37"/>
    </row>
    <row r="146" spans="9:10">
      <c r="I146" s="19"/>
      <c r="J146" s="37"/>
    </row>
    <row r="147" spans="9:10">
      <c r="I147" s="19"/>
      <c r="J147" s="37"/>
    </row>
    <row r="148" spans="9:10">
      <c r="I148" s="19"/>
      <c r="J148" s="37"/>
    </row>
    <row r="149" spans="9:10">
      <c r="I149" s="19"/>
      <c r="J149" s="37"/>
    </row>
    <row r="150" spans="9:10">
      <c r="I150" s="19"/>
      <c r="J150" s="37"/>
    </row>
    <row r="151" spans="9:10">
      <c r="I151" s="19"/>
      <c r="J151" s="37"/>
    </row>
    <row r="152" spans="9:10">
      <c r="I152" s="19"/>
      <c r="J152" s="37"/>
    </row>
    <row r="153" spans="9:10">
      <c r="I153" s="19"/>
      <c r="J153" s="37"/>
    </row>
    <row r="154" spans="9:10">
      <c r="I154" s="19"/>
      <c r="J154" s="37"/>
    </row>
    <row r="155" spans="9:10">
      <c r="I155" s="19"/>
      <c r="J155" s="37"/>
    </row>
    <row r="156" spans="9:10">
      <c r="I156" s="19"/>
      <c r="J156" s="37"/>
    </row>
    <row r="157" spans="9:10">
      <c r="I157" s="19"/>
      <c r="J157" s="37"/>
    </row>
    <row r="158" spans="9:10">
      <c r="I158" s="19"/>
      <c r="J158" s="37"/>
    </row>
    <row r="159" spans="9:10">
      <c r="I159" s="19"/>
      <c r="J159" s="37"/>
    </row>
    <row r="160" spans="9:10">
      <c r="I160" s="19"/>
      <c r="J160" s="37"/>
    </row>
    <row r="161" spans="9:10">
      <c r="I161" s="19"/>
      <c r="J161" s="37"/>
    </row>
    <row r="162" spans="9:10">
      <c r="I162" s="19"/>
      <c r="J162" s="37"/>
    </row>
    <row r="163" spans="9:10">
      <c r="I163" s="19"/>
      <c r="J163" s="37"/>
    </row>
    <row r="164" spans="9:10">
      <c r="I164" s="19"/>
      <c r="J164" s="37"/>
    </row>
    <row r="165" spans="9:10">
      <c r="I165" s="19"/>
      <c r="J165" s="37"/>
    </row>
    <row r="166" spans="9:10">
      <c r="I166" s="19"/>
      <c r="J166" s="37"/>
    </row>
    <row r="167" spans="9:10">
      <c r="I167" s="19"/>
      <c r="J167" s="37"/>
    </row>
    <row r="168" spans="9:10">
      <c r="I168" s="19"/>
      <c r="J168" s="37"/>
    </row>
    <row r="169" spans="9:10">
      <c r="I169" s="19"/>
      <c r="J169" s="37"/>
    </row>
    <row r="170" spans="9:10">
      <c r="I170" s="19"/>
      <c r="J170" s="37"/>
    </row>
    <row r="171" spans="9:10">
      <c r="I171" s="19"/>
      <c r="J171" s="37"/>
    </row>
    <row r="172" spans="9:10">
      <c r="I172" s="19"/>
      <c r="J172" s="37"/>
    </row>
    <row r="173" spans="9:10">
      <c r="I173" s="19"/>
      <c r="J173" s="37"/>
    </row>
    <row r="174" spans="9:10">
      <c r="I174" s="19"/>
      <c r="J174" s="37"/>
    </row>
  </sheetData>
  <mergeCells count="1">
    <mergeCell ref="L3:S11"/>
  </mergeCells>
  <conditionalFormatting sqref="I24:N65536 I3:I5 I17:I22 N12:N22 L3 I7:I15 K18:L22 M20:M22 K5 K8:K15 L12:M15">
    <cfRule type="cellIs" dxfId="18" priority="1" stopIfTrue="1" operator="equal">
      <formula>0</formula>
    </cfRule>
  </conditionalFormatting>
  <printOptions horizontalCentered="1" gridLines="1"/>
  <pageMargins left="0.75" right="0.75" top="0.63" bottom="0.63" header="0.32" footer="0.45"/>
  <pageSetup scale="61" fitToHeight="2" orientation="portrait" r:id="rId1"/>
  <headerFooter alignWithMargins="0">
    <oddHeader>&amp;L&amp;"Arial,Bold Italic"&amp;11&amp;A&amp;C&amp;"Arial,Bold Italic"&amp;11Ten Mile River Hydro
Phase I Feasibility Study&amp;R&amp;"Arial,Bold Italic"&amp;11For Planning Purposes Only</oddHeader>
    <oddFooter>&amp;L&amp;F&amp;R&amp;G</oddFooter>
  </headerFooter>
  <rowBreaks count="1" manualBreakCount="1">
    <brk id="92" max="7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"/>
  <sheetViews>
    <sheetView workbookViewId="0"/>
  </sheetViews>
  <sheetFormatPr defaultRowHeight="12.75"/>
  <cols>
    <col min="1" max="1" width="7.7109375" style="55" customWidth="1"/>
    <col min="2" max="16384" width="9.140625" style="55"/>
  </cols>
  <sheetData>
    <row r="1" spans="1:9" ht="15" customHeight="1">
      <c r="B1" s="368" t="s">
        <v>412</v>
      </c>
      <c r="C1" s="368"/>
      <c r="D1" s="368"/>
      <c r="E1" s="368"/>
      <c r="F1" s="368"/>
    </row>
    <row r="3" spans="1:9" ht="38.25">
      <c r="A3" s="347" t="s">
        <v>211</v>
      </c>
      <c r="B3" s="236" t="s">
        <v>411</v>
      </c>
      <c r="C3" s="236" t="s">
        <v>410</v>
      </c>
      <c r="D3" s="347" t="s">
        <v>409</v>
      </c>
      <c r="E3" s="347" t="s">
        <v>188</v>
      </c>
      <c r="F3" s="236" t="s">
        <v>414</v>
      </c>
    </row>
    <row r="4" spans="1:9" ht="15" customHeight="1">
      <c r="A4" s="347" t="s">
        <v>404</v>
      </c>
      <c r="B4" s="347"/>
      <c r="C4" s="347"/>
      <c r="D4" s="347"/>
      <c r="E4" s="347"/>
      <c r="F4" s="347"/>
      <c r="G4" s="59"/>
      <c r="H4" s="59"/>
      <c r="I4" s="59"/>
    </row>
    <row r="5" spans="1:9" ht="15" customHeight="1">
      <c r="A5" s="349" t="s">
        <v>165</v>
      </c>
      <c r="B5" s="352">
        <f>'Summary - Cash'!B14</f>
        <v>3326.1606763089185</v>
      </c>
      <c r="C5" s="350">
        <f>'Summary - Cash'!C14</f>
        <v>204.50209102286885</v>
      </c>
      <c r="D5" s="352">
        <f>'Summary - Cash'!D14</f>
        <v>16264.678075770697</v>
      </c>
      <c r="E5" s="351">
        <f>'Summary - Cash'!I14</f>
        <v>2.520592783790163E-2</v>
      </c>
      <c r="F5" s="352">
        <f>'Summary - Cash'!J14</f>
        <v>-665.41013462219985</v>
      </c>
      <c r="G5" s="59"/>
      <c r="H5" s="59"/>
      <c r="I5" s="59"/>
    </row>
    <row r="6" spans="1:9" ht="15" customHeight="1">
      <c r="A6" s="349" t="s">
        <v>166</v>
      </c>
      <c r="B6" s="352">
        <f>'Summary - Cash'!B26</f>
        <v>4626.1804684338176</v>
      </c>
      <c r="C6" s="350">
        <f>'Summary - Cash'!C26</f>
        <v>176.27797603973011</v>
      </c>
      <c r="D6" s="352">
        <f>'Summary - Cash'!D26</f>
        <v>26243.666806062909</v>
      </c>
      <c r="E6" s="351" t="e">
        <f>'Summary - Cash'!I26</f>
        <v>#DIV/0!</v>
      </c>
      <c r="F6" s="352">
        <f>'Summary - Cash'!J26</f>
        <v>-2852.0124493657454</v>
      </c>
      <c r="G6" s="59"/>
      <c r="H6" s="59"/>
      <c r="I6" s="59"/>
    </row>
    <row r="7" spans="1:9" ht="15" customHeight="1">
      <c r="A7" s="349" t="s">
        <v>167</v>
      </c>
      <c r="B7" s="352">
        <f>'Summary - Cash'!B27</f>
        <v>4976.0082243799361</v>
      </c>
      <c r="C7" s="350">
        <f>'Summary - Cash'!C27</f>
        <v>326.41587198231383</v>
      </c>
      <c r="D7" s="352">
        <f>'Summary - Cash'!D27</f>
        <v>15244.38194184856</v>
      </c>
      <c r="E7" s="351">
        <f>'Summary - Cash'!I27</f>
        <v>3.7098941041972533E-2</v>
      </c>
      <c r="F7" s="352">
        <f>'Summary - Cash'!J27</f>
        <v>-558.85630400780519</v>
      </c>
      <c r="G7" s="59"/>
      <c r="H7" s="59"/>
      <c r="I7" s="59"/>
    </row>
    <row r="8" spans="1:9" ht="15" customHeight="1">
      <c r="B8" s="352"/>
      <c r="C8" s="59"/>
      <c r="D8" s="352"/>
      <c r="E8" s="59"/>
      <c r="F8" s="352"/>
      <c r="G8" s="59"/>
      <c r="H8" s="59"/>
      <c r="I8" s="59"/>
    </row>
    <row r="9" spans="1:9" ht="15" customHeight="1">
      <c r="A9" s="108" t="s">
        <v>405</v>
      </c>
      <c r="B9" s="352"/>
      <c r="C9" s="59"/>
      <c r="D9" s="352"/>
      <c r="E9" s="59"/>
      <c r="F9" s="352"/>
      <c r="G9" s="59"/>
      <c r="H9" s="59"/>
      <c r="I9" s="59"/>
    </row>
    <row r="10" spans="1:9" ht="15" customHeight="1">
      <c r="A10" s="349" t="s">
        <v>224</v>
      </c>
      <c r="B10" s="352">
        <f>'Summary - Cash'!B18</f>
        <v>3363.7446763089183</v>
      </c>
      <c r="C10" s="350">
        <f>'Summary - Cash'!C18</f>
        <v>111.64708753140407</v>
      </c>
      <c r="D10" s="352">
        <f>'Summary - Cash'!D18</f>
        <v>30128.369227390413</v>
      </c>
      <c r="E10" s="351" t="e">
        <f>'Summary - Cash'!I18</f>
        <v>#DIV/0!</v>
      </c>
      <c r="F10" s="352">
        <f>'Summary - Cash'!J18</f>
        <v>-2313.9549791592613</v>
      </c>
      <c r="G10" s="59"/>
      <c r="H10" s="59"/>
      <c r="I10" s="59"/>
    </row>
    <row r="11" spans="1:9" ht="15" customHeight="1">
      <c r="A11" s="349" t="s">
        <v>225</v>
      </c>
      <c r="B11" s="352">
        <f>'Summary - Cash'!B28</f>
        <v>3519.011984739137</v>
      </c>
      <c r="C11" s="350">
        <f>'Summary - Cash'!C28</f>
        <v>208.65145985234972</v>
      </c>
      <c r="D11" s="352">
        <f>'Summary - Cash'!D28</f>
        <v>16865.503779505463</v>
      </c>
      <c r="E11" s="351">
        <f>'Summary - Cash'!I28</f>
        <v>1.6140382395467737E-2</v>
      </c>
      <c r="F11" s="352">
        <f>'Summary - Cash'!J28</f>
        <v>-908.58097534913315</v>
      </c>
      <c r="G11" s="59"/>
      <c r="H11" s="59"/>
      <c r="I11" s="59"/>
    </row>
    <row r="12" spans="1:9" ht="15" customHeight="1">
      <c r="B12" s="352"/>
      <c r="C12" s="59"/>
      <c r="D12" s="352"/>
      <c r="E12" s="59"/>
      <c r="F12" s="352"/>
      <c r="G12" s="59"/>
      <c r="H12" s="59"/>
      <c r="I12" s="59"/>
    </row>
    <row r="13" spans="1:9" ht="15" customHeight="1">
      <c r="A13" s="108" t="s">
        <v>208</v>
      </c>
      <c r="B13" s="352"/>
      <c r="C13" s="59"/>
      <c r="D13" s="352"/>
      <c r="E13" s="59"/>
      <c r="F13" s="352"/>
      <c r="G13" s="59"/>
      <c r="H13" s="59"/>
      <c r="I13" s="59"/>
    </row>
    <row r="14" spans="1:9" ht="15" customHeight="1">
      <c r="A14" s="349" t="s">
        <v>226</v>
      </c>
      <c r="B14" s="352">
        <f>'Summary - Cash'!B22</f>
        <v>3276.9126763089184</v>
      </c>
      <c r="C14" s="350">
        <f>'Summary - Cash'!C22</f>
        <v>103.90917057378202</v>
      </c>
      <c r="D14" s="352">
        <f>'Summary - Cash'!D22</f>
        <v>31536.318288500868</v>
      </c>
      <c r="E14" s="351" t="e">
        <f>'Summary - Cash'!I22</f>
        <v>#DIV/0!</v>
      </c>
      <c r="F14" s="352">
        <f>'Summary - Cash'!J22</f>
        <v>-2293.6661180695492</v>
      </c>
      <c r="G14" s="59"/>
      <c r="H14" s="59"/>
      <c r="I14" s="59"/>
    </row>
    <row r="15" spans="1:9" ht="15" customHeight="1">
      <c r="B15" s="59"/>
      <c r="C15" s="59"/>
      <c r="D15" s="352"/>
      <c r="E15" s="59"/>
      <c r="F15" s="59"/>
      <c r="G15" s="59"/>
      <c r="H15" s="59"/>
      <c r="I15" s="59"/>
    </row>
    <row r="16" spans="1:9" ht="15" customHeight="1">
      <c r="B16" s="59"/>
      <c r="C16" s="59"/>
      <c r="D16" s="59"/>
      <c r="E16" s="59"/>
      <c r="F16" s="59"/>
      <c r="G16" s="59"/>
      <c r="H16" s="59"/>
      <c r="I16" s="59"/>
    </row>
    <row r="17" spans="2:9" ht="15" customHeight="1">
      <c r="B17" s="59"/>
      <c r="C17" s="59"/>
      <c r="D17" s="59"/>
      <c r="E17" s="59"/>
      <c r="F17" s="59"/>
      <c r="G17" s="59"/>
      <c r="H17" s="59"/>
      <c r="I17" s="59"/>
    </row>
    <row r="18" spans="2:9">
      <c r="B18" s="59"/>
      <c r="C18" s="59"/>
      <c r="D18" s="59"/>
      <c r="E18" s="59"/>
      <c r="F18" s="59"/>
      <c r="G18" s="59"/>
      <c r="H18" s="59"/>
      <c r="I18" s="59"/>
    </row>
    <row r="19" spans="2:9">
      <c r="B19" s="59"/>
      <c r="C19" s="59"/>
      <c r="D19" s="59"/>
      <c r="E19" s="59"/>
      <c r="F19" s="59"/>
      <c r="G19" s="59"/>
      <c r="H19" s="59"/>
      <c r="I19" s="59"/>
    </row>
    <row r="20" spans="2:9">
      <c r="B20" s="59"/>
      <c r="C20" s="59"/>
      <c r="D20" s="59"/>
      <c r="E20" s="59"/>
      <c r="F20" s="59"/>
      <c r="G20" s="59"/>
      <c r="H20" s="59"/>
      <c r="I20" s="59"/>
    </row>
    <row r="21" spans="2:9">
      <c r="B21" s="59"/>
      <c r="C21" s="59"/>
      <c r="D21" s="59"/>
      <c r="E21" s="59"/>
      <c r="F21" s="59"/>
      <c r="G21" s="59"/>
      <c r="H21" s="59"/>
      <c r="I21" s="59"/>
    </row>
    <row r="22" spans="2:9">
      <c r="B22" s="59"/>
      <c r="C22" s="59"/>
      <c r="D22" s="59"/>
      <c r="E22" s="59"/>
      <c r="F22" s="59"/>
      <c r="G22" s="59"/>
      <c r="H22" s="59"/>
      <c r="I22" s="59"/>
    </row>
  </sheetData>
  <mergeCells count="1">
    <mergeCell ref="B1:F1"/>
  </mergeCells>
  <conditionalFormatting sqref="B4:I22">
    <cfRule type="containsErrors" dxfId="26" priority="1">
      <formula>ISERROR(B4)</formula>
    </cfRule>
  </conditionalFormatting>
  <printOptions horizontalCentered="1"/>
  <pageMargins left="0.7" right="0.7" top="0.75" bottom="0.75" header="0.3" footer="0.3"/>
  <pageSetup orientation="portrait" r:id="rId1"/>
  <headerFooter>
    <oddHeader>&amp;LEast Providence&amp;C Ten Mile River Feasibility Study&amp;R&amp;A</oddHeader>
    <oddFooter>&amp;R&amp;F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5"/>
  </sheetPr>
  <dimension ref="A1:S174"/>
  <sheetViews>
    <sheetView view="pageBreakPreview" topLeftCell="A77" zoomScale="75" zoomScaleNormal="80" zoomScaleSheetLayoutView="75" workbookViewId="0">
      <selection activeCell="H11" sqref="H11"/>
    </sheetView>
  </sheetViews>
  <sheetFormatPr defaultRowHeight="12.75"/>
  <cols>
    <col min="1" max="1" width="4.85546875" style="11" customWidth="1"/>
    <col min="2" max="2" width="32.5703125" style="11" customWidth="1"/>
    <col min="3" max="3" width="9.140625" style="11"/>
    <col min="4" max="4" width="12.42578125" style="69" customWidth="1"/>
    <col min="5" max="5" width="9.42578125" style="69" customWidth="1"/>
    <col min="6" max="6" width="12.85546875" style="69" customWidth="1"/>
    <col min="7" max="7" width="3.140625" style="11" customWidth="1"/>
    <col min="8" max="8" width="60.7109375" style="11" customWidth="1"/>
    <col min="9" max="9" width="4.85546875" style="11" customWidth="1"/>
    <col min="10" max="10" width="12.28515625" style="51" customWidth="1"/>
    <col min="11" max="11" width="12.42578125" style="10" customWidth="1"/>
    <col min="12" max="12" width="12.5703125" style="10" customWidth="1"/>
    <col min="13" max="14" width="9.140625" style="10"/>
    <col min="15" max="16384" width="9.140625" style="11"/>
  </cols>
  <sheetData>
    <row r="1" spans="1:19" ht="25.5">
      <c r="A1" s="7" t="s">
        <v>0</v>
      </c>
      <c r="B1" s="7" t="s">
        <v>1</v>
      </c>
      <c r="C1" s="7" t="s">
        <v>2</v>
      </c>
      <c r="D1" s="12" t="s">
        <v>3</v>
      </c>
      <c r="E1" s="60" t="s">
        <v>4</v>
      </c>
      <c r="F1" s="60" t="s">
        <v>5</v>
      </c>
      <c r="G1" s="8"/>
      <c r="H1" s="7" t="s">
        <v>6</v>
      </c>
      <c r="I1" s="7"/>
      <c r="J1" s="9"/>
      <c r="L1" s="10" t="s">
        <v>270</v>
      </c>
    </row>
    <row r="2" spans="1:19" ht="16.5" customHeight="1">
      <c r="A2" s="12">
        <v>1</v>
      </c>
      <c r="B2" s="7" t="s">
        <v>7</v>
      </c>
      <c r="C2" s="7"/>
      <c r="D2" s="61"/>
      <c r="E2" s="62"/>
      <c r="F2" s="62"/>
      <c r="G2" s="14"/>
      <c r="H2" s="13"/>
      <c r="I2" s="15"/>
      <c r="J2" s="16"/>
      <c r="K2" s="170"/>
      <c r="M2" s="17"/>
      <c r="N2" s="17"/>
      <c r="O2" s="18"/>
      <c r="P2" s="18"/>
    </row>
    <row r="3" spans="1:19" ht="16.5" customHeight="1">
      <c r="A3" s="19" t="s">
        <v>8</v>
      </c>
      <c r="B3" s="20" t="s">
        <v>9</v>
      </c>
      <c r="C3" s="20"/>
      <c r="D3" s="61">
        <v>1</v>
      </c>
      <c r="E3" s="62">
        <v>25000</v>
      </c>
      <c r="F3" s="62">
        <f>0.001*D3*E3</f>
        <v>25</v>
      </c>
      <c r="G3" s="14"/>
      <c r="H3" s="13" t="s">
        <v>10</v>
      </c>
      <c r="I3" s="21"/>
      <c r="J3" s="22"/>
      <c r="L3" s="374" t="s">
        <v>304</v>
      </c>
      <c r="M3" s="374"/>
      <c r="N3" s="374"/>
      <c r="O3" s="374"/>
      <c r="P3" s="374"/>
      <c r="Q3" s="374"/>
      <c r="R3" s="374"/>
      <c r="S3" s="374"/>
    </row>
    <row r="4" spans="1:19" ht="16.5" customHeight="1">
      <c r="A4" s="19" t="s">
        <v>11</v>
      </c>
      <c r="B4" s="20" t="s">
        <v>12</v>
      </c>
      <c r="C4" s="20"/>
      <c r="D4" s="61">
        <v>1</v>
      </c>
      <c r="E4" s="62">
        <v>10000</v>
      </c>
      <c r="F4" s="62">
        <f>0.001*D4*E4</f>
        <v>10</v>
      </c>
      <c r="G4" s="14"/>
      <c r="H4" s="13" t="s">
        <v>10</v>
      </c>
      <c r="I4" s="21"/>
      <c r="J4" s="22"/>
      <c r="K4" s="140"/>
      <c r="L4" s="374"/>
      <c r="M4" s="374"/>
      <c r="N4" s="374"/>
      <c r="O4" s="374"/>
      <c r="P4" s="374"/>
      <c r="Q4" s="374"/>
      <c r="R4" s="374"/>
      <c r="S4" s="374"/>
    </row>
    <row r="5" spans="1:19" ht="18.75" customHeight="1">
      <c r="A5" s="19" t="s">
        <v>13</v>
      </c>
      <c r="B5" s="23" t="s">
        <v>14</v>
      </c>
      <c r="C5" s="23" t="s">
        <v>15</v>
      </c>
      <c r="D5" s="61">
        <v>4</v>
      </c>
      <c r="E5" s="62">
        <v>8000</v>
      </c>
      <c r="F5" s="62">
        <f>0.001*D5*E5</f>
        <v>32</v>
      </c>
      <c r="G5" s="14"/>
      <c r="H5" s="142" t="s">
        <v>285</v>
      </c>
      <c r="I5" s="21"/>
      <c r="J5" s="22"/>
      <c r="K5" s="17"/>
      <c r="L5" s="374"/>
      <c r="M5" s="374"/>
      <c r="N5" s="374"/>
      <c r="O5" s="374"/>
      <c r="P5" s="374"/>
      <c r="Q5" s="374"/>
      <c r="R5" s="374"/>
      <c r="S5" s="374"/>
    </row>
    <row r="6" spans="1:19" ht="16.5" customHeight="1">
      <c r="A6" s="19" t="s">
        <v>16</v>
      </c>
      <c r="B6" s="23" t="s">
        <v>17</v>
      </c>
      <c r="C6" s="23" t="s">
        <v>18</v>
      </c>
      <c r="D6" s="61">
        <v>2000</v>
      </c>
      <c r="E6" s="62">
        <v>10</v>
      </c>
      <c r="F6" s="62">
        <f>0.001*D6*E6</f>
        <v>20</v>
      </c>
      <c r="G6" s="14"/>
      <c r="H6" s="142" t="s">
        <v>285</v>
      </c>
      <c r="I6" s="18"/>
      <c r="J6" s="24"/>
      <c r="K6" s="25"/>
      <c r="L6" s="374"/>
      <c r="M6" s="374"/>
      <c r="N6" s="374"/>
      <c r="O6" s="374"/>
      <c r="P6" s="374"/>
      <c r="Q6" s="374"/>
      <c r="R6" s="374"/>
      <c r="S6" s="374"/>
    </row>
    <row r="7" spans="1:19" ht="16.5" customHeight="1">
      <c r="A7" s="26" t="s">
        <v>19</v>
      </c>
      <c r="B7" s="27" t="s">
        <v>151</v>
      </c>
      <c r="C7" s="27"/>
      <c r="D7" s="184">
        <v>1</v>
      </c>
      <c r="E7" s="64">
        <f>('Phase I Dam Repairs'!D3+'Phase I Dam Repairs'!D4)*1000</f>
        <v>90000</v>
      </c>
      <c r="F7" s="64">
        <f>0.001*D7*E7</f>
        <v>90</v>
      </c>
      <c r="G7" s="29"/>
      <c r="H7" s="238" t="s">
        <v>286</v>
      </c>
      <c r="I7" s="21"/>
      <c r="J7" s="22"/>
      <c r="K7" s="30"/>
      <c r="L7" s="374"/>
      <c r="M7" s="374"/>
      <c r="N7" s="374"/>
      <c r="O7" s="374"/>
      <c r="P7" s="374"/>
      <c r="Q7" s="374"/>
      <c r="R7" s="374"/>
      <c r="S7" s="374"/>
    </row>
    <row r="8" spans="1:19" ht="16.5" customHeight="1">
      <c r="A8" s="19" t="s">
        <v>21</v>
      </c>
      <c r="B8" s="19" t="s">
        <v>22</v>
      </c>
      <c r="C8" s="19"/>
      <c r="D8" s="61"/>
      <c r="E8" s="62"/>
      <c r="F8" s="62">
        <f>SUM(F2:F7)</f>
        <v>177</v>
      </c>
      <c r="G8" s="14"/>
      <c r="H8" s="13"/>
      <c r="I8" s="21"/>
      <c r="J8" s="22"/>
      <c r="K8" s="31"/>
      <c r="L8" s="374"/>
      <c r="M8" s="374"/>
      <c r="N8" s="374"/>
      <c r="O8" s="374"/>
      <c r="P8" s="374"/>
      <c r="Q8" s="374"/>
      <c r="R8" s="374"/>
      <c r="S8" s="374"/>
    </row>
    <row r="9" spans="1:19" ht="16.5" customHeight="1">
      <c r="A9" s="19"/>
      <c r="B9" s="13"/>
      <c r="C9" s="13"/>
      <c r="D9" s="61"/>
      <c r="E9" s="62"/>
      <c r="F9" s="62"/>
      <c r="G9" s="14"/>
      <c r="H9" s="13"/>
      <c r="I9" s="21"/>
      <c r="J9" s="22"/>
      <c r="K9" s="31"/>
      <c r="L9" s="374"/>
      <c r="M9" s="374"/>
      <c r="N9" s="374"/>
      <c r="O9" s="374"/>
      <c r="P9" s="374"/>
      <c r="Q9" s="374"/>
      <c r="R9" s="374"/>
      <c r="S9" s="374"/>
    </row>
    <row r="10" spans="1:19" ht="16.5" customHeight="1">
      <c r="A10" s="12">
        <v>2</v>
      </c>
      <c r="B10" s="7" t="s">
        <v>130</v>
      </c>
      <c r="C10" s="7"/>
      <c r="D10" s="65"/>
      <c r="E10" s="62"/>
      <c r="F10" s="62"/>
      <c r="G10" s="14"/>
      <c r="H10" s="13"/>
      <c r="I10" s="21"/>
      <c r="J10" s="22"/>
      <c r="K10" s="31"/>
      <c r="L10" s="374"/>
      <c r="M10" s="374"/>
      <c r="N10" s="374"/>
      <c r="O10" s="374"/>
      <c r="P10" s="374"/>
      <c r="Q10" s="374"/>
      <c r="R10" s="374"/>
      <c r="S10" s="374"/>
    </row>
    <row r="11" spans="1:19" ht="16.5" customHeight="1">
      <c r="A11" s="19" t="s">
        <v>8</v>
      </c>
      <c r="B11" s="20" t="s">
        <v>114</v>
      </c>
      <c r="C11" s="32"/>
      <c r="D11" s="66"/>
      <c r="E11" s="62"/>
      <c r="F11" s="62">
        <v>100</v>
      </c>
      <c r="G11" s="14"/>
      <c r="H11" s="13" t="s">
        <v>10</v>
      </c>
      <c r="I11" s="21"/>
      <c r="J11" s="22"/>
      <c r="K11" s="31"/>
      <c r="L11" s="374"/>
      <c r="M11" s="374"/>
      <c r="N11" s="374"/>
      <c r="O11" s="374"/>
      <c r="P11" s="374"/>
      <c r="Q11" s="374"/>
      <c r="R11" s="374"/>
      <c r="S11" s="374"/>
    </row>
    <row r="12" spans="1:19" ht="16.5" customHeight="1">
      <c r="A12" s="19" t="s">
        <v>11</v>
      </c>
      <c r="B12" s="194" t="s">
        <v>376</v>
      </c>
      <c r="C12" s="32"/>
      <c r="D12" s="66"/>
      <c r="E12" s="62"/>
      <c r="F12" s="62">
        <v>10</v>
      </c>
      <c r="G12" s="14"/>
      <c r="H12" s="13" t="s">
        <v>10</v>
      </c>
      <c r="I12" s="21"/>
      <c r="J12" s="22"/>
      <c r="K12" s="31"/>
      <c r="L12" s="31"/>
      <c r="M12" s="31"/>
      <c r="N12" s="17"/>
      <c r="O12" s="18"/>
      <c r="P12" s="18"/>
    </row>
    <row r="13" spans="1:19" ht="16.5" customHeight="1">
      <c r="A13" s="19" t="s">
        <v>13</v>
      </c>
      <c r="B13" s="194" t="s">
        <v>318</v>
      </c>
      <c r="C13" s="20"/>
      <c r="D13" s="66">
        <v>1</v>
      </c>
      <c r="E13" s="62">
        <f>'Pwrhse Cost Estimator'!D30</f>
        <v>677586.02465811581</v>
      </c>
      <c r="F13" s="62">
        <f t="shared" ref="F13:F29" si="0">0.001*D13*E13</f>
        <v>677.58602465811578</v>
      </c>
      <c r="G13" s="14"/>
      <c r="H13" s="142" t="s">
        <v>377</v>
      </c>
      <c r="I13" s="21"/>
      <c r="J13" s="22"/>
      <c r="K13" s="31"/>
      <c r="L13" s="31"/>
      <c r="M13" s="31"/>
      <c r="N13" s="17"/>
      <c r="O13" s="18"/>
      <c r="P13" s="18"/>
    </row>
    <row r="14" spans="1:19" ht="16.5" hidden="1" customHeight="1">
      <c r="A14" s="19" t="s">
        <v>25</v>
      </c>
      <c r="B14" s="34" t="s">
        <v>26</v>
      </c>
      <c r="C14" s="23" t="s">
        <v>27</v>
      </c>
      <c r="D14" s="189">
        <v>0</v>
      </c>
      <c r="E14" s="186">
        <v>100</v>
      </c>
      <c r="F14" s="186">
        <f t="shared" si="0"/>
        <v>0</v>
      </c>
      <c r="G14" s="187"/>
      <c r="H14" s="188" t="s">
        <v>156</v>
      </c>
      <c r="I14" s="21"/>
      <c r="J14" s="22"/>
      <c r="K14" s="17"/>
      <c r="L14" s="17"/>
      <c r="M14" s="17"/>
      <c r="N14" s="17"/>
      <c r="O14" s="18"/>
      <c r="P14" s="18"/>
    </row>
    <row r="15" spans="1:19" ht="27.75" hidden="1" customHeight="1">
      <c r="A15" s="19" t="s">
        <v>28</v>
      </c>
      <c r="B15" s="35" t="s">
        <v>29</v>
      </c>
      <c r="C15" s="23" t="s">
        <v>27</v>
      </c>
      <c r="D15" s="190">
        <v>0</v>
      </c>
      <c r="E15" s="186">
        <v>100</v>
      </c>
      <c r="F15" s="186">
        <f t="shared" si="0"/>
        <v>0</v>
      </c>
      <c r="G15" s="187"/>
      <c r="H15" s="188" t="s">
        <v>156</v>
      </c>
      <c r="I15" s="21"/>
      <c r="J15" s="22"/>
      <c r="K15" s="17"/>
      <c r="L15" s="17"/>
      <c r="M15" s="17"/>
      <c r="N15" s="17"/>
      <c r="O15" s="18"/>
      <c r="P15" s="18"/>
    </row>
    <row r="16" spans="1:19" ht="16.5" hidden="1" customHeight="1">
      <c r="A16" s="19" t="s">
        <v>30</v>
      </c>
      <c r="B16" s="35" t="s">
        <v>31</v>
      </c>
      <c r="C16" s="23" t="s">
        <v>27</v>
      </c>
      <c r="D16" s="190">
        <v>0</v>
      </c>
      <c r="E16" s="186">
        <v>100</v>
      </c>
      <c r="F16" s="186">
        <f t="shared" si="0"/>
        <v>0</v>
      </c>
      <c r="G16" s="187"/>
      <c r="H16" s="188" t="s">
        <v>156</v>
      </c>
      <c r="I16" s="18"/>
      <c r="J16" s="24"/>
      <c r="K16" s="25"/>
      <c r="L16" s="25"/>
      <c r="M16" s="25"/>
      <c r="N16" s="17"/>
      <c r="O16" s="18"/>
      <c r="P16" s="18"/>
    </row>
    <row r="17" spans="1:16" ht="16.5" hidden="1" customHeight="1">
      <c r="A17" s="21" t="s">
        <v>16</v>
      </c>
      <c r="B17" s="23" t="s">
        <v>32</v>
      </c>
      <c r="C17" s="23"/>
      <c r="D17" s="190">
        <v>0</v>
      </c>
      <c r="E17" s="186">
        <v>10000</v>
      </c>
      <c r="F17" s="186">
        <f t="shared" si="0"/>
        <v>0</v>
      </c>
      <c r="G17" s="187"/>
      <c r="H17" s="188" t="s">
        <v>10</v>
      </c>
      <c r="I17" s="21"/>
      <c r="J17" s="22"/>
      <c r="K17" s="30"/>
      <c r="L17" s="30"/>
      <c r="M17" s="30"/>
      <c r="N17" s="17"/>
      <c r="O17" s="18"/>
      <c r="P17" s="18"/>
    </row>
    <row r="18" spans="1:16" ht="16.5" hidden="1" customHeight="1">
      <c r="A18" s="19" t="s">
        <v>19</v>
      </c>
      <c r="B18" s="23" t="s">
        <v>33</v>
      </c>
      <c r="C18" s="23" t="s">
        <v>34</v>
      </c>
      <c r="D18" s="190">
        <v>0</v>
      </c>
      <c r="E18" s="186">
        <v>1000</v>
      </c>
      <c r="F18" s="186">
        <f t="shared" si="0"/>
        <v>0</v>
      </c>
      <c r="G18" s="187"/>
      <c r="H18" s="188" t="s">
        <v>156</v>
      </c>
      <c r="I18" s="21"/>
      <c r="J18" s="22"/>
      <c r="K18" s="31"/>
      <c r="L18" s="31"/>
      <c r="M18" s="30"/>
      <c r="N18" s="17"/>
      <c r="O18" s="18"/>
      <c r="P18" s="18"/>
    </row>
    <row r="19" spans="1:16" ht="16.5" hidden="1" customHeight="1">
      <c r="A19" s="19" t="s">
        <v>21</v>
      </c>
      <c r="B19" s="23" t="s">
        <v>57</v>
      </c>
      <c r="C19" s="23" t="s">
        <v>27</v>
      </c>
      <c r="D19" s="190">
        <v>0</v>
      </c>
      <c r="E19" s="186">
        <v>750</v>
      </c>
      <c r="F19" s="186">
        <f t="shared" si="0"/>
        <v>0</v>
      </c>
      <c r="G19" s="187"/>
      <c r="H19" s="188" t="s">
        <v>10</v>
      </c>
      <c r="I19" s="21"/>
      <c r="J19" s="22"/>
      <c r="K19" s="31"/>
      <c r="L19" s="31"/>
      <c r="M19" s="30"/>
      <c r="N19" s="17"/>
      <c r="O19" s="18"/>
      <c r="P19" s="18"/>
    </row>
    <row r="20" spans="1:16" ht="16.5" hidden="1" customHeight="1">
      <c r="A20" s="19" t="s">
        <v>35</v>
      </c>
      <c r="B20" s="23" t="s">
        <v>124</v>
      </c>
      <c r="C20" s="23" t="s">
        <v>23</v>
      </c>
      <c r="D20" s="190">
        <v>0</v>
      </c>
      <c r="E20" s="186">
        <v>100</v>
      </c>
      <c r="F20" s="186">
        <f t="shared" si="0"/>
        <v>0</v>
      </c>
      <c r="G20" s="187"/>
      <c r="H20" s="188" t="s">
        <v>157</v>
      </c>
      <c r="I20" s="21"/>
      <c r="J20" s="22"/>
      <c r="K20" s="31"/>
      <c r="L20" s="31"/>
      <c r="M20" s="31"/>
      <c r="N20" s="17"/>
      <c r="O20" s="18"/>
      <c r="P20" s="18"/>
    </row>
    <row r="21" spans="1:16" ht="16.5" hidden="1" customHeight="1">
      <c r="A21" s="19" t="s">
        <v>36</v>
      </c>
      <c r="B21" s="20" t="s">
        <v>37</v>
      </c>
      <c r="C21" s="32" t="s">
        <v>23</v>
      </c>
      <c r="D21" s="189">
        <v>0</v>
      </c>
      <c r="E21" s="186">
        <v>400</v>
      </c>
      <c r="F21" s="186">
        <f t="shared" si="0"/>
        <v>0</v>
      </c>
      <c r="G21" s="187"/>
      <c r="H21" s="188" t="s">
        <v>158</v>
      </c>
      <c r="I21" s="21"/>
      <c r="J21" s="22"/>
      <c r="K21" s="31"/>
      <c r="L21" s="31"/>
      <c r="M21" s="31"/>
      <c r="N21" s="17"/>
      <c r="O21" s="18"/>
      <c r="P21" s="18"/>
    </row>
    <row r="22" spans="1:16" ht="16.5" hidden="1" customHeight="1">
      <c r="A22" s="19" t="s">
        <v>25</v>
      </c>
      <c r="B22" s="20" t="s">
        <v>38</v>
      </c>
      <c r="C22" s="32"/>
      <c r="D22" s="66">
        <v>0</v>
      </c>
      <c r="E22" s="62">
        <v>150000</v>
      </c>
      <c r="F22" s="62">
        <f t="shared" si="0"/>
        <v>0</v>
      </c>
      <c r="G22" s="14"/>
      <c r="H22" s="36" t="s">
        <v>159</v>
      </c>
      <c r="I22" s="21"/>
      <c r="J22" s="22"/>
      <c r="K22" s="31"/>
      <c r="L22" s="31"/>
      <c r="M22" s="31"/>
      <c r="N22" s="17"/>
      <c r="O22" s="18"/>
      <c r="P22" s="18"/>
    </row>
    <row r="23" spans="1:16" ht="16.5" hidden="1" customHeight="1">
      <c r="A23" s="19" t="s">
        <v>39</v>
      </c>
      <c r="B23" s="23" t="s">
        <v>160</v>
      </c>
      <c r="C23" s="20"/>
      <c r="D23" s="61">
        <v>0</v>
      </c>
      <c r="E23" s="62">
        <v>15000</v>
      </c>
      <c r="F23" s="62">
        <f t="shared" si="0"/>
        <v>0</v>
      </c>
      <c r="G23" s="14"/>
      <c r="H23" s="36" t="s">
        <v>10</v>
      </c>
      <c r="J23" s="11"/>
      <c r="K23" s="11"/>
      <c r="L23" s="11"/>
      <c r="M23" s="11"/>
      <c r="N23" s="11"/>
    </row>
    <row r="24" spans="1:16" ht="33" customHeight="1">
      <c r="A24" s="19" t="s">
        <v>40</v>
      </c>
      <c r="B24" s="194" t="s">
        <v>292</v>
      </c>
      <c r="C24" s="194" t="s">
        <v>18</v>
      </c>
      <c r="D24" s="61">
        <v>2300</v>
      </c>
      <c r="E24" s="62">
        <f>'Penstock Costs'!G21</f>
        <v>614.02450739999995</v>
      </c>
      <c r="F24" s="62">
        <f t="shared" si="0"/>
        <v>1412.25636702</v>
      </c>
      <c r="G24" s="14"/>
      <c r="H24" s="142" t="s">
        <v>364</v>
      </c>
      <c r="I24" s="19"/>
      <c r="J24" s="37"/>
    </row>
    <row r="25" spans="1:16" ht="16.5" customHeight="1">
      <c r="A25" s="19" t="s">
        <v>41</v>
      </c>
      <c r="B25" s="20" t="s">
        <v>42</v>
      </c>
      <c r="C25" s="20"/>
      <c r="D25" s="61">
        <v>1</v>
      </c>
      <c r="E25" s="62">
        <v>5000</v>
      </c>
      <c r="F25" s="62">
        <f t="shared" si="0"/>
        <v>5</v>
      </c>
      <c r="G25" s="14"/>
      <c r="H25" s="13" t="s">
        <v>10</v>
      </c>
      <c r="I25" s="19"/>
      <c r="J25" s="37"/>
    </row>
    <row r="26" spans="1:16" ht="16.5" customHeight="1">
      <c r="A26" s="19" t="s">
        <v>43</v>
      </c>
      <c r="B26" s="20" t="s">
        <v>44</v>
      </c>
      <c r="C26" s="20"/>
      <c r="D26" s="61">
        <v>1</v>
      </c>
      <c r="E26" s="239">
        <v>10000</v>
      </c>
      <c r="F26" s="239">
        <f t="shared" si="0"/>
        <v>10</v>
      </c>
      <c r="G26" s="240"/>
      <c r="H26" s="142" t="s">
        <v>10</v>
      </c>
      <c r="I26" s="19"/>
      <c r="J26" s="37"/>
    </row>
    <row r="27" spans="1:16" ht="25.5" customHeight="1">
      <c r="A27" s="19" t="s">
        <v>45</v>
      </c>
      <c r="B27" s="20" t="s">
        <v>46</v>
      </c>
      <c r="C27" s="20"/>
      <c r="D27" s="61">
        <v>1</v>
      </c>
      <c r="E27" s="239">
        <v>10000</v>
      </c>
      <c r="F27" s="239">
        <f t="shared" si="0"/>
        <v>10</v>
      </c>
      <c r="G27" s="240"/>
      <c r="H27" s="142" t="s">
        <v>10</v>
      </c>
      <c r="I27" s="19"/>
      <c r="J27" s="37"/>
    </row>
    <row r="28" spans="1:16">
      <c r="A28" s="19" t="s">
        <v>47</v>
      </c>
      <c r="B28" s="20" t="s">
        <v>48</v>
      </c>
      <c r="C28" s="20"/>
      <c r="D28" s="61">
        <v>1</v>
      </c>
      <c r="E28" s="62">
        <v>5000</v>
      </c>
      <c r="F28" s="62">
        <f t="shared" si="0"/>
        <v>5</v>
      </c>
      <c r="G28" s="14"/>
      <c r="H28" s="13" t="s">
        <v>10</v>
      </c>
      <c r="I28" s="19"/>
      <c r="J28" s="37"/>
    </row>
    <row r="29" spans="1:16" ht="16.5" customHeight="1">
      <c r="A29" s="26" t="s">
        <v>49</v>
      </c>
      <c r="B29" s="324" t="s">
        <v>20</v>
      </c>
      <c r="C29" s="320"/>
      <c r="D29" s="297"/>
      <c r="E29" s="298"/>
      <c r="F29" s="64">
        <f t="shared" si="0"/>
        <v>0</v>
      </c>
      <c r="G29" s="299"/>
      <c r="H29" s="338"/>
      <c r="I29" s="19"/>
      <c r="J29" s="37"/>
    </row>
    <row r="30" spans="1:16">
      <c r="A30" s="19" t="s">
        <v>50</v>
      </c>
      <c r="B30" s="325" t="s">
        <v>385</v>
      </c>
      <c r="C30" s="321"/>
      <c r="D30" s="317"/>
      <c r="E30" s="290"/>
      <c r="F30" s="290">
        <f>SUM(F11:F29)</f>
        <v>2229.8423916781157</v>
      </c>
      <c r="G30" s="306"/>
      <c r="H30" s="318"/>
      <c r="I30" s="19"/>
      <c r="J30" s="37"/>
    </row>
    <row r="31" spans="1:16" ht="16.5" customHeight="1">
      <c r="A31" s="19"/>
      <c r="B31" s="318"/>
      <c r="C31" s="318"/>
      <c r="D31" s="317"/>
      <c r="E31" s="290"/>
      <c r="F31" s="290"/>
      <c r="G31" s="306"/>
      <c r="H31" s="318"/>
      <c r="I31" s="19"/>
      <c r="J31" s="37"/>
    </row>
    <row r="32" spans="1:16" ht="16.5" customHeight="1">
      <c r="A32" s="12">
        <v>3</v>
      </c>
      <c r="B32" s="322" t="s">
        <v>52</v>
      </c>
      <c r="C32" s="322"/>
      <c r="D32" s="317"/>
      <c r="E32" s="290"/>
      <c r="F32" s="290"/>
      <c r="G32" s="306"/>
      <c r="H32" s="318"/>
      <c r="I32" s="19"/>
      <c r="J32" s="37"/>
    </row>
    <row r="33" spans="1:10" ht="15">
      <c r="A33" s="19" t="s">
        <v>8</v>
      </c>
      <c r="B33" s="303" t="s">
        <v>319</v>
      </c>
      <c r="C33" s="304"/>
      <c r="D33" s="317">
        <v>1</v>
      </c>
      <c r="E33" s="290">
        <f>'TG Costs'!D29</f>
        <v>701857.76</v>
      </c>
      <c r="F33" s="290">
        <f t="shared" ref="F33:F38" si="1">0.001*D33*E33</f>
        <v>701.85775999999998</v>
      </c>
      <c r="G33" s="311"/>
      <c r="H33" s="307" t="s">
        <v>387</v>
      </c>
      <c r="I33" s="19"/>
      <c r="J33" s="37">
        <f>3/1.8*1.5</f>
        <v>2.5</v>
      </c>
    </row>
    <row r="34" spans="1:10" ht="20.25" customHeight="1">
      <c r="A34" s="19" t="s">
        <v>11</v>
      </c>
      <c r="B34" s="309" t="s">
        <v>161</v>
      </c>
      <c r="C34" s="304"/>
      <c r="D34" s="317">
        <v>1</v>
      </c>
      <c r="E34" s="290">
        <f>SUM(F33,F35:F38)*1000*0.2</f>
        <v>163371.55200000003</v>
      </c>
      <c r="F34" s="290">
        <f t="shared" si="1"/>
        <v>163.37155200000004</v>
      </c>
      <c r="G34" s="306"/>
      <c r="H34" s="316" t="s">
        <v>162</v>
      </c>
      <c r="I34" s="19"/>
      <c r="J34" s="37"/>
    </row>
    <row r="35" spans="1:10" ht="16.5" customHeight="1">
      <c r="A35" s="19" t="s">
        <v>13</v>
      </c>
      <c r="B35" s="20" t="s">
        <v>53</v>
      </c>
      <c r="C35" s="20"/>
      <c r="D35" s="191">
        <v>1</v>
      </c>
      <c r="E35" s="239">
        <f>'Interconnect Costs'!K10</f>
        <v>20000</v>
      </c>
      <c r="F35" s="239">
        <f t="shared" si="1"/>
        <v>20</v>
      </c>
      <c r="G35" s="240"/>
      <c r="H35" s="241" t="s">
        <v>274</v>
      </c>
      <c r="I35" s="19"/>
      <c r="J35" s="37"/>
    </row>
    <row r="36" spans="1:10" ht="16.5" customHeight="1">
      <c r="A36" s="19" t="s">
        <v>16</v>
      </c>
      <c r="B36" s="194" t="s">
        <v>320</v>
      </c>
      <c r="C36" s="20"/>
      <c r="D36" s="191">
        <v>1</v>
      </c>
      <c r="E36" s="239">
        <v>50000</v>
      </c>
      <c r="F36" s="239">
        <f t="shared" si="1"/>
        <v>50</v>
      </c>
      <c r="G36" s="240"/>
      <c r="H36" s="142" t="s">
        <v>384</v>
      </c>
      <c r="I36" s="19"/>
      <c r="J36" s="37"/>
    </row>
    <row r="37" spans="1:10">
      <c r="A37" s="19" t="s">
        <v>19</v>
      </c>
      <c r="B37" s="20" t="s">
        <v>55</v>
      </c>
      <c r="C37" s="20"/>
      <c r="D37" s="191">
        <v>1</v>
      </c>
      <c r="E37" s="239">
        <v>20000</v>
      </c>
      <c r="F37" s="239">
        <f t="shared" si="1"/>
        <v>20</v>
      </c>
      <c r="G37" s="240"/>
      <c r="H37" s="142" t="s">
        <v>10</v>
      </c>
      <c r="I37" s="19"/>
      <c r="J37" s="37"/>
    </row>
    <row r="38" spans="1:10" ht="16.5" customHeight="1">
      <c r="A38" s="26" t="s">
        <v>21</v>
      </c>
      <c r="B38" s="192" t="s">
        <v>321</v>
      </c>
      <c r="C38" s="27"/>
      <c r="D38" s="184">
        <v>1</v>
      </c>
      <c r="E38" s="64">
        <v>25000</v>
      </c>
      <c r="F38" s="64">
        <f t="shared" si="1"/>
        <v>25</v>
      </c>
      <c r="G38" s="29"/>
      <c r="H38" s="238" t="s">
        <v>10</v>
      </c>
      <c r="I38" s="19"/>
      <c r="J38" s="37"/>
    </row>
    <row r="39" spans="1:10" ht="16.5" customHeight="1">
      <c r="A39" s="19" t="s">
        <v>35</v>
      </c>
      <c r="B39" s="19" t="s">
        <v>56</v>
      </c>
      <c r="C39" s="19"/>
      <c r="D39" s="61"/>
      <c r="E39" s="62"/>
      <c r="F39" s="62">
        <f>SUM(F33:F38)</f>
        <v>980.22931200000005</v>
      </c>
      <c r="G39" s="14"/>
      <c r="H39" s="13"/>
      <c r="I39" s="19"/>
      <c r="J39" s="37"/>
    </row>
    <row r="40" spans="1:10" ht="16.5" hidden="1" customHeight="1">
      <c r="A40" s="19"/>
      <c r="B40" s="13"/>
      <c r="C40" s="13"/>
      <c r="D40" s="61"/>
      <c r="E40" s="62"/>
      <c r="F40" s="62"/>
      <c r="G40" s="14"/>
      <c r="H40" s="13"/>
      <c r="I40" s="19"/>
      <c r="J40" s="37"/>
    </row>
    <row r="41" spans="1:10" ht="16.5" hidden="1" customHeight="1">
      <c r="A41" s="12">
        <v>4</v>
      </c>
      <c r="B41" s="7" t="s">
        <v>132</v>
      </c>
      <c r="C41" s="7"/>
      <c r="D41" s="61"/>
      <c r="E41" s="62"/>
      <c r="F41" s="62"/>
      <c r="G41" s="14"/>
      <c r="H41" s="13"/>
      <c r="I41" s="19"/>
      <c r="J41" s="37"/>
    </row>
    <row r="42" spans="1:10" ht="16.5" hidden="1" customHeight="1">
      <c r="A42" s="19" t="s">
        <v>8</v>
      </c>
      <c r="B42" s="20" t="s">
        <v>133</v>
      </c>
      <c r="C42" s="23" t="s">
        <v>23</v>
      </c>
      <c r="D42" s="61"/>
      <c r="E42" s="62">
        <v>40</v>
      </c>
      <c r="F42" s="62">
        <f>0.001*D42*E42</f>
        <v>0</v>
      </c>
      <c r="G42" s="14"/>
      <c r="H42" s="13" t="s">
        <v>10</v>
      </c>
      <c r="I42" s="19"/>
      <c r="J42" s="37"/>
    </row>
    <row r="43" spans="1:10" ht="16.5" hidden="1" customHeight="1">
      <c r="A43" s="19" t="s">
        <v>11</v>
      </c>
      <c r="B43" s="20" t="s">
        <v>24</v>
      </c>
      <c r="C43" s="23" t="s">
        <v>27</v>
      </c>
      <c r="D43" s="61"/>
      <c r="E43" s="62">
        <v>15</v>
      </c>
      <c r="F43" s="62">
        <f>0.001*D43*E43</f>
        <v>0</v>
      </c>
      <c r="G43" s="14"/>
      <c r="H43" s="13" t="s">
        <v>10</v>
      </c>
      <c r="I43" s="19"/>
      <c r="J43" s="37"/>
    </row>
    <row r="44" spans="1:10" ht="16.5" hidden="1" customHeight="1">
      <c r="A44" s="19" t="s">
        <v>13</v>
      </c>
      <c r="B44" s="20" t="s">
        <v>134</v>
      </c>
      <c r="C44" s="23" t="s">
        <v>27</v>
      </c>
      <c r="D44" s="61"/>
      <c r="E44" s="62">
        <v>450</v>
      </c>
      <c r="F44" s="62">
        <f>0.001*D44*E44</f>
        <v>0</v>
      </c>
      <c r="G44" s="14"/>
      <c r="H44" s="13" t="s">
        <v>10</v>
      </c>
      <c r="I44" s="19"/>
      <c r="J44" s="37"/>
    </row>
    <row r="45" spans="1:10" hidden="1">
      <c r="A45" s="19" t="s">
        <v>16</v>
      </c>
      <c r="B45" s="20" t="s">
        <v>135</v>
      </c>
      <c r="C45" s="20"/>
      <c r="D45" s="61"/>
      <c r="E45" s="62"/>
      <c r="F45" s="62">
        <f>0.001*D45*E45</f>
        <v>0</v>
      </c>
      <c r="G45" s="14"/>
      <c r="H45" s="36"/>
      <c r="I45" s="19"/>
      <c r="J45" s="37"/>
    </row>
    <row r="46" spans="1:10" ht="16.5" hidden="1" customHeight="1">
      <c r="A46" s="26" t="s">
        <v>19</v>
      </c>
      <c r="B46" s="27" t="s">
        <v>20</v>
      </c>
      <c r="C46" s="27"/>
      <c r="D46" s="63"/>
      <c r="E46" s="64"/>
      <c r="F46" s="64">
        <f>0.001*D46*E46</f>
        <v>0</v>
      </c>
      <c r="G46" s="29"/>
      <c r="H46" s="28"/>
      <c r="I46" s="19"/>
      <c r="J46" s="37"/>
    </row>
    <row r="47" spans="1:10" ht="16.5" hidden="1" customHeight="1">
      <c r="A47" s="19" t="s">
        <v>21</v>
      </c>
      <c r="B47" s="19" t="s">
        <v>136</v>
      </c>
      <c r="C47" s="19"/>
      <c r="D47" s="61"/>
      <c r="E47" s="62"/>
      <c r="F47" s="62">
        <f>SUM(F42:F46)</f>
        <v>0</v>
      </c>
      <c r="G47" s="14"/>
      <c r="H47" s="13"/>
      <c r="I47" s="19"/>
      <c r="J47" s="37"/>
    </row>
    <row r="48" spans="1:10" ht="16.5" hidden="1" customHeight="1">
      <c r="A48" s="19"/>
      <c r="B48" s="13"/>
      <c r="C48" s="13"/>
      <c r="D48" s="61"/>
      <c r="E48" s="62"/>
      <c r="F48" s="62"/>
      <c r="G48" s="14"/>
      <c r="H48" s="13"/>
      <c r="I48" s="19"/>
      <c r="J48" s="37"/>
    </row>
    <row r="49" spans="1:10" ht="16.5" hidden="1" customHeight="1">
      <c r="A49" s="12">
        <v>5</v>
      </c>
      <c r="B49" s="7" t="s">
        <v>137</v>
      </c>
      <c r="C49" s="7"/>
      <c r="D49" s="61"/>
      <c r="E49" s="62"/>
      <c r="F49" s="62"/>
      <c r="G49" s="14"/>
      <c r="H49" s="13"/>
      <c r="I49" s="19"/>
      <c r="J49" s="37"/>
    </row>
    <row r="50" spans="1:10" ht="16.5" hidden="1" customHeight="1">
      <c r="A50" s="39" t="s">
        <v>8</v>
      </c>
      <c r="B50" s="40" t="s">
        <v>138</v>
      </c>
      <c r="C50" s="40"/>
      <c r="D50" s="61"/>
      <c r="E50" s="62">
        <v>1000</v>
      </c>
      <c r="F50" s="62">
        <f t="shared" ref="F50:F55" si="2">0.001*D50*E50</f>
        <v>0</v>
      </c>
      <c r="G50" s="14"/>
      <c r="H50" s="13" t="s">
        <v>10</v>
      </c>
      <c r="I50" s="19"/>
      <c r="J50" s="37"/>
    </row>
    <row r="51" spans="1:10" ht="16.5" hidden="1" customHeight="1">
      <c r="A51" s="39" t="s">
        <v>11</v>
      </c>
      <c r="B51" s="23" t="s">
        <v>17</v>
      </c>
      <c r="C51" s="23" t="s">
        <v>18</v>
      </c>
      <c r="D51" s="61"/>
      <c r="E51" s="62">
        <v>5</v>
      </c>
      <c r="F51" s="62">
        <f t="shared" si="2"/>
        <v>0</v>
      </c>
      <c r="G51" s="14"/>
      <c r="H51" s="13" t="s">
        <v>139</v>
      </c>
      <c r="I51" s="19"/>
      <c r="J51" s="37"/>
    </row>
    <row r="52" spans="1:10" ht="16.5" hidden="1" customHeight="1">
      <c r="A52" s="19" t="s">
        <v>13</v>
      </c>
      <c r="B52" s="41" t="s">
        <v>140</v>
      </c>
      <c r="C52" s="40" t="s">
        <v>15</v>
      </c>
      <c r="D52" s="61"/>
      <c r="E52" s="62">
        <v>6201</v>
      </c>
      <c r="F52" s="62">
        <f t="shared" si="2"/>
        <v>0</v>
      </c>
      <c r="G52" s="14"/>
      <c r="H52" s="13" t="s">
        <v>10</v>
      </c>
      <c r="I52" s="19"/>
      <c r="J52" s="37"/>
    </row>
    <row r="53" spans="1:10" ht="16.5" hidden="1" customHeight="1">
      <c r="A53" s="19" t="s">
        <v>16</v>
      </c>
      <c r="B53" s="41" t="s">
        <v>24</v>
      </c>
      <c r="C53" s="41" t="s">
        <v>27</v>
      </c>
      <c r="D53" s="67"/>
      <c r="E53" s="62">
        <v>15</v>
      </c>
      <c r="F53" s="62">
        <f t="shared" si="2"/>
        <v>0</v>
      </c>
      <c r="G53" s="14"/>
      <c r="H53" s="13" t="s">
        <v>139</v>
      </c>
      <c r="I53" s="19"/>
      <c r="J53" s="37"/>
    </row>
    <row r="54" spans="1:10" ht="16.5" hidden="1" customHeight="1">
      <c r="A54" s="19" t="s">
        <v>19</v>
      </c>
      <c r="B54" s="41" t="s">
        <v>141</v>
      </c>
      <c r="C54" s="41" t="s">
        <v>27</v>
      </c>
      <c r="D54" s="67"/>
      <c r="E54" s="62">
        <v>40</v>
      </c>
      <c r="F54" s="62">
        <f t="shared" si="2"/>
        <v>0</v>
      </c>
      <c r="G54" s="14"/>
      <c r="H54" s="13" t="s">
        <v>139</v>
      </c>
      <c r="I54" s="19"/>
      <c r="J54" s="37"/>
    </row>
    <row r="55" spans="1:10" ht="16.5" hidden="1" customHeight="1">
      <c r="A55" s="26" t="s">
        <v>21</v>
      </c>
      <c r="B55" s="27" t="s">
        <v>20</v>
      </c>
      <c r="C55" s="27"/>
      <c r="D55" s="63"/>
      <c r="E55" s="64"/>
      <c r="F55" s="64">
        <f t="shared" si="2"/>
        <v>0</v>
      </c>
      <c r="G55" s="29"/>
      <c r="H55" s="28"/>
      <c r="I55" s="19"/>
      <c r="J55" s="37"/>
    </row>
    <row r="56" spans="1:10" ht="16.5" hidden="1" customHeight="1">
      <c r="A56" s="19" t="s">
        <v>35</v>
      </c>
      <c r="B56" s="21" t="s">
        <v>142</v>
      </c>
      <c r="C56" s="21"/>
      <c r="D56" s="61"/>
      <c r="E56" s="62"/>
      <c r="F56" s="62">
        <f>SUM(F50:F55)</f>
        <v>0</v>
      </c>
      <c r="G56" s="14"/>
      <c r="H56" s="13"/>
      <c r="I56" s="19"/>
      <c r="J56" s="37"/>
    </row>
    <row r="57" spans="1:10" ht="16.5" hidden="1" customHeight="1">
      <c r="A57" s="19"/>
      <c r="B57" s="13"/>
      <c r="C57" s="13"/>
      <c r="D57" s="61"/>
      <c r="E57" s="62"/>
      <c r="F57" s="62"/>
      <c r="G57" s="14"/>
      <c r="H57" s="13"/>
      <c r="I57" s="19"/>
      <c r="J57" s="37"/>
    </row>
    <row r="58" spans="1:10" hidden="1">
      <c r="A58" s="12">
        <v>5</v>
      </c>
      <c r="B58" s="7" t="s">
        <v>143</v>
      </c>
      <c r="C58" s="7"/>
      <c r="D58" s="61"/>
      <c r="E58" s="62"/>
      <c r="F58" s="62"/>
      <c r="G58" s="14"/>
      <c r="H58" s="13"/>
      <c r="I58" s="19"/>
      <c r="J58" s="37"/>
    </row>
    <row r="59" spans="1:10" ht="16.5" hidden="1" customHeight="1">
      <c r="A59" s="39" t="s">
        <v>8</v>
      </c>
      <c r="B59" s="40" t="s">
        <v>138</v>
      </c>
      <c r="C59" s="40"/>
      <c r="D59" s="61"/>
      <c r="E59" s="62">
        <v>1000</v>
      </c>
      <c r="F59" s="62">
        <f t="shared" ref="F59:F64" si="3">0.001*D59*E59</f>
        <v>0</v>
      </c>
      <c r="G59" s="14"/>
      <c r="H59" s="13" t="s">
        <v>10</v>
      </c>
      <c r="I59" s="19"/>
      <c r="J59" s="37"/>
    </row>
    <row r="60" spans="1:10" ht="16.5" hidden="1" customHeight="1">
      <c r="A60" s="39" t="s">
        <v>11</v>
      </c>
      <c r="B60" s="23" t="s">
        <v>17</v>
      </c>
      <c r="C60" s="23" t="s">
        <v>18</v>
      </c>
      <c r="D60" s="61"/>
      <c r="E60" s="62">
        <v>5</v>
      </c>
      <c r="F60" s="62">
        <f t="shared" si="3"/>
        <v>0</v>
      </c>
      <c r="G60" s="14"/>
      <c r="H60" s="13" t="s">
        <v>139</v>
      </c>
      <c r="I60" s="19"/>
      <c r="J60" s="37"/>
    </row>
    <row r="61" spans="1:10" ht="16.5" hidden="1" customHeight="1">
      <c r="A61" s="19" t="s">
        <v>13</v>
      </c>
      <c r="B61" s="41" t="s">
        <v>140</v>
      </c>
      <c r="C61" s="40" t="s">
        <v>15</v>
      </c>
      <c r="D61" s="61"/>
      <c r="E61" s="62">
        <v>6201</v>
      </c>
      <c r="F61" s="62">
        <f t="shared" si="3"/>
        <v>0</v>
      </c>
      <c r="G61" s="14"/>
      <c r="H61" s="13" t="s">
        <v>10</v>
      </c>
      <c r="I61" s="19"/>
      <c r="J61" s="37"/>
    </row>
    <row r="62" spans="1:10" ht="16.5" hidden="1" customHeight="1">
      <c r="A62" s="19" t="s">
        <v>16</v>
      </c>
      <c r="B62" s="41" t="s">
        <v>24</v>
      </c>
      <c r="C62" s="41" t="s">
        <v>27</v>
      </c>
      <c r="D62" s="67"/>
      <c r="E62" s="62">
        <v>15</v>
      </c>
      <c r="F62" s="62">
        <f t="shared" si="3"/>
        <v>0</v>
      </c>
      <c r="G62" s="14"/>
      <c r="H62" s="13" t="s">
        <v>139</v>
      </c>
      <c r="I62" s="19"/>
      <c r="J62" s="37"/>
    </row>
    <row r="63" spans="1:10" hidden="1">
      <c r="A63" s="19" t="s">
        <v>19</v>
      </c>
      <c r="B63" s="41" t="s">
        <v>141</v>
      </c>
      <c r="C63" s="41" t="s">
        <v>27</v>
      </c>
      <c r="D63" s="67"/>
      <c r="E63" s="62">
        <v>40</v>
      </c>
      <c r="F63" s="62">
        <f t="shared" si="3"/>
        <v>0</v>
      </c>
      <c r="G63" s="14"/>
      <c r="H63" s="13" t="s">
        <v>139</v>
      </c>
      <c r="I63" s="19"/>
      <c r="J63" s="37"/>
    </row>
    <row r="64" spans="1:10" ht="16.5" hidden="1" customHeight="1">
      <c r="A64" s="26" t="s">
        <v>21</v>
      </c>
      <c r="B64" s="27" t="s">
        <v>20</v>
      </c>
      <c r="C64" s="27"/>
      <c r="D64" s="63"/>
      <c r="E64" s="64"/>
      <c r="F64" s="64">
        <f t="shared" si="3"/>
        <v>0</v>
      </c>
      <c r="G64" s="29"/>
      <c r="H64" s="28"/>
      <c r="I64" s="19"/>
      <c r="J64" s="37"/>
    </row>
    <row r="65" spans="1:10" ht="16.5" hidden="1" customHeight="1">
      <c r="A65" s="19" t="s">
        <v>35</v>
      </c>
      <c r="B65" s="21" t="s">
        <v>144</v>
      </c>
      <c r="C65" s="21"/>
      <c r="D65" s="61"/>
      <c r="E65" s="62"/>
      <c r="F65" s="62">
        <f>SUM(F59:F64)</f>
        <v>0</v>
      </c>
      <c r="G65" s="14"/>
      <c r="H65" s="13"/>
      <c r="I65" s="19"/>
      <c r="J65" s="37"/>
    </row>
    <row r="66" spans="1:10" ht="16.5" hidden="1" customHeight="1">
      <c r="A66" s="19"/>
      <c r="B66" s="13"/>
      <c r="C66" s="13"/>
      <c r="D66" s="61"/>
      <c r="E66" s="62"/>
      <c r="F66" s="62"/>
      <c r="G66" s="14"/>
      <c r="H66" s="13"/>
      <c r="I66" s="19"/>
      <c r="J66" s="37"/>
    </row>
    <row r="67" spans="1:10" ht="16.5" hidden="1" customHeight="1">
      <c r="A67" s="12">
        <v>7</v>
      </c>
      <c r="B67" s="7" t="s">
        <v>145</v>
      </c>
      <c r="C67" s="7"/>
      <c r="D67" s="61"/>
      <c r="E67" s="62"/>
      <c r="F67" s="62"/>
      <c r="G67" s="14"/>
      <c r="H67" s="13"/>
      <c r="I67" s="19"/>
      <c r="J67" s="37"/>
    </row>
    <row r="68" spans="1:10" ht="16.5" hidden="1" customHeight="1">
      <c r="A68" s="19" t="s">
        <v>8</v>
      </c>
      <c r="B68" s="41" t="s">
        <v>140</v>
      </c>
      <c r="C68" s="41" t="s">
        <v>15</v>
      </c>
      <c r="D68" s="61"/>
      <c r="E68" s="62">
        <v>6200</v>
      </c>
      <c r="F68" s="62">
        <f>0.001*D68*E68</f>
        <v>0</v>
      </c>
      <c r="G68" s="14"/>
      <c r="H68" s="13" t="s">
        <v>10</v>
      </c>
      <c r="I68" s="19"/>
      <c r="J68" s="37"/>
    </row>
    <row r="69" spans="1:10" ht="16.5" hidden="1" customHeight="1">
      <c r="A69" s="19" t="s">
        <v>11</v>
      </c>
      <c r="B69" s="40" t="s">
        <v>24</v>
      </c>
      <c r="C69" s="40" t="s">
        <v>27</v>
      </c>
      <c r="D69" s="67"/>
      <c r="E69" s="62">
        <v>20</v>
      </c>
      <c r="F69" s="62">
        <f>0.001*D69*E69</f>
        <v>0</v>
      </c>
      <c r="G69" s="14"/>
      <c r="H69" s="13" t="s">
        <v>146</v>
      </c>
      <c r="I69" s="19"/>
      <c r="J69" s="37"/>
    </row>
    <row r="70" spans="1:10" hidden="1">
      <c r="A70" s="19" t="s">
        <v>13</v>
      </c>
      <c r="B70" s="20" t="s">
        <v>147</v>
      </c>
      <c r="C70" s="20" t="s">
        <v>27</v>
      </c>
      <c r="D70" s="67"/>
      <c r="E70" s="62">
        <v>40</v>
      </c>
      <c r="F70" s="62">
        <f>0.001*D70*E70</f>
        <v>0</v>
      </c>
      <c r="G70" s="14"/>
      <c r="H70" s="13" t="s">
        <v>146</v>
      </c>
      <c r="I70" s="19"/>
      <c r="J70" s="37"/>
    </row>
    <row r="71" spans="1:10" ht="16.5" hidden="1" customHeight="1">
      <c r="A71" s="19" t="s">
        <v>16</v>
      </c>
      <c r="B71" s="20" t="s">
        <v>57</v>
      </c>
      <c r="C71" s="20" t="s">
        <v>27</v>
      </c>
      <c r="D71" s="61"/>
      <c r="E71" s="62">
        <v>450</v>
      </c>
      <c r="F71" s="62">
        <f>0.001*D71*E71</f>
        <v>0</v>
      </c>
      <c r="G71" s="14"/>
      <c r="H71" s="13" t="s">
        <v>10</v>
      </c>
      <c r="I71" s="19"/>
      <c r="J71" s="37"/>
    </row>
    <row r="72" spans="1:10" ht="16.5" hidden="1" customHeight="1">
      <c r="A72" s="26" t="s">
        <v>16</v>
      </c>
      <c r="B72" s="27" t="s">
        <v>20</v>
      </c>
      <c r="C72" s="27"/>
      <c r="D72" s="63"/>
      <c r="E72" s="64"/>
      <c r="F72" s="64">
        <f>0.001*D72*E72</f>
        <v>0</v>
      </c>
      <c r="G72" s="29"/>
      <c r="H72" s="28"/>
      <c r="I72" s="19"/>
      <c r="J72" s="37"/>
    </row>
    <row r="73" spans="1:10" ht="16.5" hidden="1" customHeight="1">
      <c r="A73" s="19" t="s">
        <v>19</v>
      </c>
      <c r="B73" s="39" t="s">
        <v>148</v>
      </c>
      <c r="C73" s="19"/>
      <c r="D73" s="61"/>
      <c r="E73" s="62"/>
      <c r="F73" s="62">
        <f>SUM(F68:F72)</f>
        <v>0</v>
      </c>
      <c r="G73" s="14"/>
      <c r="H73" s="13"/>
      <c r="I73" s="19"/>
      <c r="J73" s="37"/>
    </row>
    <row r="74" spans="1:10" ht="16.5" customHeight="1">
      <c r="A74" s="19"/>
      <c r="B74" s="13"/>
      <c r="C74" s="13"/>
      <c r="D74" s="61"/>
      <c r="E74" s="62"/>
      <c r="F74" s="62"/>
      <c r="G74" s="14"/>
      <c r="H74" s="13"/>
      <c r="I74" s="19"/>
      <c r="J74" s="37"/>
    </row>
    <row r="75" spans="1:10" ht="16.5" customHeight="1">
      <c r="A75" s="12">
        <v>8</v>
      </c>
      <c r="B75" s="7" t="s">
        <v>58</v>
      </c>
      <c r="C75" s="7"/>
      <c r="D75" s="61"/>
      <c r="E75" s="62"/>
      <c r="F75" s="62"/>
      <c r="G75" s="14"/>
      <c r="H75" s="13"/>
      <c r="I75" s="19"/>
      <c r="J75" s="37"/>
    </row>
    <row r="76" spans="1:10" ht="16.5" customHeight="1">
      <c r="A76" s="19" t="s">
        <v>8</v>
      </c>
      <c r="B76" s="23" t="s">
        <v>163</v>
      </c>
      <c r="C76" s="20"/>
      <c r="D76" s="61">
        <v>1</v>
      </c>
      <c r="E76" s="239">
        <v>40000</v>
      </c>
      <c r="F76" s="239">
        <f t="shared" ref="F76:F81" si="4">0.001*D76*E76</f>
        <v>40</v>
      </c>
      <c r="G76" s="240"/>
      <c r="H76" s="142" t="s">
        <v>396</v>
      </c>
      <c r="I76" s="19"/>
      <c r="J76" s="37"/>
    </row>
    <row r="77" spans="1:10" ht="16.5" customHeight="1">
      <c r="A77" s="19" t="s">
        <v>11</v>
      </c>
      <c r="B77" s="20" t="s">
        <v>59</v>
      </c>
      <c r="C77" s="20"/>
      <c r="D77" s="191">
        <v>0</v>
      </c>
      <c r="E77" s="239">
        <v>20000</v>
      </c>
      <c r="F77" s="239">
        <f t="shared" si="4"/>
        <v>0</v>
      </c>
      <c r="G77" s="240"/>
      <c r="H77" s="142" t="s">
        <v>245</v>
      </c>
      <c r="I77" s="19"/>
      <c r="J77" s="37"/>
    </row>
    <row r="78" spans="1:10" ht="16.5" customHeight="1">
      <c r="A78" s="19" t="s">
        <v>13</v>
      </c>
      <c r="B78" s="20" t="s">
        <v>60</v>
      </c>
      <c r="C78" s="20"/>
      <c r="D78" s="61">
        <v>0</v>
      </c>
      <c r="E78" s="62">
        <v>5000</v>
      </c>
      <c r="F78" s="62">
        <f t="shared" si="4"/>
        <v>0</v>
      </c>
      <c r="G78" s="14"/>
      <c r="H78" s="142" t="s">
        <v>378</v>
      </c>
      <c r="I78" s="19"/>
      <c r="J78" s="37"/>
    </row>
    <row r="79" spans="1:10" ht="16.5" customHeight="1">
      <c r="A79" s="39" t="s">
        <v>16</v>
      </c>
      <c r="B79" s="23" t="s">
        <v>61</v>
      </c>
      <c r="C79" s="23" t="s">
        <v>15</v>
      </c>
      <c r="D79" s="191">
        <v>3</v>
      </c>
      <c r="E79" s="239">
        <v>60000</v>
      </c>
      <c r="F79" s="239">
        <f t="shared" si="4"/>
        <v>180</v>
      </c>
      <c r="G79" s="240"/>
      <c r="H79" s="142" t="s">
        <v>399</v>
      </c>
      <c r="I79" s="19"/>
      <c r="J79" s="37"/>
    </row>
    <row r="80" spans="1:10" ht="16.5" customHeight="1">
      <c r="A80" s="39" t="s">
        <v>19</v>
      </c>
      <c r="B80" s="20" t="s">
        <v>62</v>
      </c>
      <c r="C80" s="20"/>
      <c r="D80" s="61">
        <v>1</v>
      </c>
      <c r="E80" s="62">
        <v>20000</v>
      </c>
      <c r="F80" s="62">
        <f t="shared" si="4"/>
        <v>20</v>
      </c>
      <c r="G80" s="14"/>
      <c r="H80" s="13" t="s">
        <v>10</v>
      </c>
      <c r="I80" s="19"/>
      <c r="J80" s="37"/>
    </row>
    <row r="81" spans="1:15" ht="16.5" customHeight="1">
      <c r="A81" s="42" t="s">
        <v>21</v>
      </c>
      <c r="B81" s="27" t="s">
        <v>149</v>
      </c>
      <c r="C81" s="27"/>
      <c r="D81" s="63">
        <v>1</v>
      </c>
      <c r="E81" s="64">
        <v>7500</v>
      </c>
      <c r="F81" s="64">
        <f t="shared" si="4"/>
        <v>7.5</v>
      </c>
      <c r="G81" s="29"/>
      <c r="H81" s="28" t="s">
        <v>10</v>
      </c>
      <c r="I81" s="19"/>
      <c r="J81" s="37"/>
    </row>
    <row r="82" spans="1:15" ht="16.5" customHeight="1">
      <c r="A82" s="39" t="s">
        <v>35</v>
      </c>
      <c r="B82" s="39" t="s">
        <v>63</v>
      </c>
      <c r="C82" s="13"/>
      <c r="D82" s="61"/>
      <c r="E82" s="62"/>
      <c r="F82" s="62">
        <f>SUM(F76:F81)</f>
        <v>247.5</v>
      </c>
      <c r="G82" s="14"/>
      <c r="H82" s="13"/>
      <c r="I82" s="19"/>
      <c r="J82" s="37"/>
    </row>
    <row r="83" spans="1:15" ht="16.5" customHeight="1">
      <c r="A83" s="19"/>
      <c r="B83" s="13"/>
      <c r="C83" s="13"/>
      <c r="D83" s="61"/>
      <c r="E83" s="62"/>
      <c r="F83" s="62"/>
      <c r="G83" s="14"/>
      <c r="H83" s="13"/>
      <c r="I83" s="19"/>
      <c r="J83" s="37"/>
    </row>
    <row r="84" spans="1:15" ht="16.5" customHeight="1">
      <c r="A84" s="12">
        <v>9</v>
      </c>
      <c r="B84" s="7" t="s">
        <v>247</v>
      </c>
      <c r="C84" s="7"/>
      <c r="D84" s="61"/>
      <c r="E84" s="62"/>
      <c r="F84" s="62"/>
      <c r="G84" s="14"/>
      <c r="H84" s="13"/>
      <c r="I84" s="19"/>
      <c r="J84" s="37"/>
    </row>
    <row r="85" spans="1:15" ht="16.5" customHeight="1">
      <c r="A85" s="19" t="s">
        <v>8</v>
      </c>
      <c r="B85" s="172" t="s">
        <v>248</v>
      </c>
      <c r="C85" s="41" t="s">
        <v>64</v>
      </c>
      <c r="D85" s="191">
        <v>3</v>
      </c>
      <c r="E85" s="239">
        <v>50000</v>
      </c>
      <c r="F85" s="239">
        <f t="shared" ref="F85:F90" si="5">0.001*D85*E85</f>
        <v>150</v>
      </c>
      <c r="G85" s="240"/>
      <c r="H85" s="142" t="s">
        <v>10</v>
      </c>
      <c r="I85" s="19"/>
      <c r="J85" s="37"/>
    </row>
    <row r="86" spans="1:15" ht="16.5" customHeight="1">
      <c r="A86" s="19" t="s">
        <v>11</v>
      </c>
      <c r="B86" s="41" t="s">
        <v>65</v>
      </c>
      <c r="C86" s="41" t="s">
        <v>64</v>
      </c>
      <c r="D86" s="191">
        <v>3</v>
      </c>
      <c r="E86" s="239">
        <v>75000</v>
      </c>
      <c r="F86" s="239">
        <f t="shared" si="5"/>
        <v>225</v>
      </c>
      <c r="G86" s="240"/>
      <c r="H86" s="142" t="s">
        <v>397</v>
      </c>
      <c r="I86" s="19"/>
      <c r="J86" s="37"/>
    </row>
    <row r="87" spans="1:15" ht="16.5" customHeight="1">
      <c r="A87" s="19" t="s">
        <v>13</v>
      </c>
      <c r="B87" s="172" t="s">
        <v>249</v>
      </c>
      <c r="C87" s="41"/>
      <c r="D87" s="191">
        <v>1</v>
      </c>
      <c r="E87" s="239">
        <v>50000</v>
      </c>
      <c r="F87" s="239">
        <f t="shared" si="5"/>
        <v>50</v>
      </c>
      <c r="G87" s="240"/>
      <c r="H87" s="142" t="s">
        <v>10</v>
      </c>
      <c r="I87" s="19"/>
      <c r="J87" s="37"/>
    </row>
    <row r="88" spans="1:15">
      <c r="A88" s="19" t="s">
        <v>16</v>
      </c>
      <c r="B88" s="172" t="s">
        <v>250</v>
      </c>
      <c r="C88" s="41"/>
      <c r="D88" s="191">
        <v>1</v>
      </c>
      <c r="E88" s="239">
        <v>25000</v>
      </c>
      <c r="F88" s="239">
        <f t="shared" si="5"/>
        <v>25</v>
      </c>
      <c r="G88" s="240"/>
      <c r="H88" s="142" t="s">
        <v>10</v>
      </c>
      <c r="I88" s="19"/>
      <c r="J88" s="37"/>
    </row>
    <row r="89" spans="1:15" ht="16.5" customHeight="1">
      <c r="A89" s="19" t="s">
        <v>19</v>
      </c>
      <c r="B89" s="41" t="s">
        <v>66</v>
      </c>
      <c r="C89" s="41"/>
      <c r="D89" s="191">
        <v>1</v>
      </c>
      <c r="E89" s="239">
        <v>25000</v>
      </c>
      <c r="F89" s="239">
        <f t="shared" si="5"/>
        <v>25</v>
      </c>
      <c r="G89" s="240"/>
      <c r="H89" s="142" t="s">
        <v>10</v>
      </c>
      <c r="I89" s="19"/>
      <c r="J89" s="37"/>
      <c r="O89" s="11">
        <f>800*150</f>
        <v>120000</v>
      </c>
    </row>
    <row r="90" spans="1:15" ht="16.5" customHeight="1">
      <c r="A90" s="26" t="s">
        <v>21</v>
      </c>
      <c r="B90" s="192" t="s">
        <v>251</v>
      </c>
      <c r="C90" s="27"/>
      <c r="D90" s="184">
        <v>1</v>
      </c>
      <c r="E90" s="242">
        <v>50000</v>
      </c>
      <c r="F90" s="242">
        <f t="shared" si="5"/>
        <v>50</v>
      </c>
      <c r="G90" s="243"/>
      <c r="H90" s="238" t="s">
        <v>273</v>
      </c>
      <c r="I90" s="19"/>
      <c r="J90" s="37"/>
    </row>
    <row r="91" spans="1:15" ht="16.5" customHeight="1">
      <c r="A91" s="19" t="s">
        <v>35</v>
      </c>
      <c r="B91" s="185" t="s">
        <v>322</v>
      </c>
      <c r="C91" s="21"/>
      <c r="D91" s="61"/>
      <c r="E91" s="62"/>
      <c r="F91" s="62">
        <f>SUM(F85:F90)</f>
        <v>525</v>
      </c>
      <c r="G91" s="14"/>
      <c r="H91" s="13"/>
      <c r="I91" s="19"/>
      <c r="J91" s="37"/>
    </row>
    <row r="92" spans="1:15" ht="16.5" customHeight="1">
      <c r="A92" s="19"/>
      <c r="B92" s="13"/>
      <c r="C92" s="13"/>
      <c r="D92" s="61"/>
      <c r="E92" s="62"/>
      <c r="F92" s="62"/>
      <c r="G92" s="14"/>
      <c r="H92" s="13"/>
      <c r="I92" s="19"/>
      <c r="J92" s="37"/>
    </row>
    <row r="93" spans="1:15" ht="16.5" customHeight="1">
      <c r="A93" s="12">
        <v>10</v>
      </c>
      <c r="B93" s="7" t="s">
        <v>67</v>
      </c>
      <c r="C93" s="7"/>
      <c r="D93" s="61"/>
      <c r="E93" s="62"/>
      <c r="F93" s="62"/>
      <c r="G93" s="14"/>
      <c r="H93" s="13"/>
      <c r="I93" s="19"/>
      <c r="J93" s="37"/>
    </row>
    <row r="94" spans="1:15" ht="16.5" customHeight="1">
      <c r="A94" s="19" t="s">
        <v>8</v>
      </c>
      <c r="B94" s="41" t="s">
        <v>68</v>
      </c>
      <c r="C94" s="41"/>
      <c r="D94" s="69">
        <v>1</v>
      </c>
      <c r="E94" s="66">
        <v>5000</v>
      </c>
      <c r="F94" s="62">
        <f>0.001*D94*E94</f>
        <v>5</v>
      </c>
      <c r="G94" s="14"/>
      <c r="H94" s="13" t="s">
        <v>10</v>
      </c>
      <c r="I94" s="19"/>
      <c r="J94" s="37"/>
    </row>
    <row r="95" spans="1:15">
      <c r="A95" s="19" t="s">
        <v>11</v>
      </c>
      <c r="B95" s="41" t="s">
        <v>69</v>
      </c>
      <c r="C95" s="41"/>
      <c r="D95" s="246">
        <v>1</v>
      </c>
      <c r="E95" s="247">
        <v>20000</v>
      </c>
      <c r="F95" s="239">
        <f>0.001*D95*E95</f>
        <v>20</v>
      </c>
      <c r="G95" s="240"/>
      <c r="H95" s="176" t="s">
        <v>290</v>
      </c>
      <c r="I95" s="19"/>
      <c r="J95" s="37"/>
    </row>
    <row r="96" spans="1:15" ht="16.5" customHeight="1">
      <c r="A96" s="19" t="s">
        <v>13</v>
      </c>
      <c r="B96" s="41" t="s">
        <v>70</v>
      </c>
      <c r="C96" s="41"/>
      <c r="D96" s="69">
        <v>1</v>
      </c>
      <c r="E96" s="66">
        <v>5000</v>
      </c>
      <c r="F96" s="62">
        <f>0.001*D96*E96</f>
        <v>5</v>
      </c>
      <c r="G96" s="14"/>
      <c r="H96" s="13" t="s">
        <v>10</v>
      </c>
      <c r="I96" s="19"/>
      <c r="J96" s="37"/>
    </row>
    <row r="97" spans="1:10" ht="15.75" customHeight="1">
      <c r="A97" s="19" t="s">
        <v>16</v>
      </c>
      <c r="B97" s="41" t="s">
        <v>71</v>
      </c>
      <c r="C97" s="41"/>
      <c r="D97" s="69">
        <v>1</v>
      </c>
      <c r="E97" s="66">
        <v>10000</v>
      </c>
      <c r="F97" s="62">
        <f>0.001*D97*E97</f>
        <v>10</v>
      </c>
      <c r="G97" s="14"/>
      <c r="H97" s="13" t="s">
        <v>10</v>
      </c>
      <c r="I97" s="19"/>
      <c r="J97" s="37"/>
    </row>
    <row r="98" spans="1:10" ht="16.5" customHeight="1">
      <c r="A98" s="26" t="s">
        <v>19</v>
      </c>
      <c r="B98" s="27" t="s">
        <v>20</v>
      </c>
      <c r="C98" s="27"/>
      <c r="D98" s="63"/>
      <c r="E98" s="64"/>
      <c r="F98" s="64">
        <f>0.001*D98*E98</f>
        <v>0</v>
      </c>
      <c r="G98" s="29"/>
      <c r="H98" s="28"/>
      <c r="I98" s="19"/>
      <c r="J98" s="37"/>
    </row>
    <row r="99" spans="1:10" ht="16.5" customHeight="1">
      <c r="A99" s="19" t="s">
        <v>21</v>
      </c>
      <c r="B99" s="39" t="s">
        <v>72</v>
      </c>
      <c r="C99" s="39"/>
      <c r="D99" s="61"/>
      <c r="E99" s="62"/>
      <c r="F99" s="62">
        <f>SUM(F94:F98)</f>
        <v>40</v>
      </c>
      <c r="G99" s="14"/>
      <c r="H99" s="13"/>
      <c r="I99" s="19"/>
      <c r="J99" s="37"/>
    </row>
    <row r="100" spans="1:10" ht="16.5" customHeight="1">
      <c r="A100" s="13"/>
      <c r="B100" s="13"/>
      <c r="C100" s="13"/>
      <c r="D100" s="61"/>
      <c r="E100" s="62"/>
      <c r="F100" s="62"/>
      <c r="G100" s="14"/>
      <c r="H100" s="13"/>
      <c r="I100" s="19"/>
      <c r="J100" s="37"/>
    </row>
    <row r="101" spans="1:10" ht="16.5" customHeight="1">
      <c r="A101" s="12">
        <v>11</v>
      </c>
      <c r="B101" s="7" t="s">
        <v>73</v>
      </c>
      <c r="C101" s="7"/>
      <c r="D101" s="61"/>
      <c r="E101" s="62"/>
      <c r="F101" s="62"/>
      <c r="G101" s="14"/>
      <c r="H101" s="13"/>
      <c r="I101" s="19"/>
      <c r="J101" s="37"/>
    </row>
    <row r="102" spans="1:10" ht="16.5" customHeight="1">
      <c r="A102" s="19" t="s">
        <v>8</v>
      </c>
      <c r="B102" s="20" t="s">
        <v>14</v>
      </c>
      <c r="C102" s="20" t="s">
        <v>15</v>
      </c>
      <c r="D102" s="191">
        <v>1</v>
      </c>
      <c r="E102" s="239">
        <v>6200</v>
      </c>
      <c r="F102" s="239">
        <f>0.001*D102*E102</f>
        <v>6.2</v>
      </c>
      <c r="G102" s="240"/>
      <c r="H102" s="142" t="s">
        <v>10</v>
      </c>
      <c r="I102" s="19"/>
      <c r="J102" s="37"/>
    </row>
    <row r="103" spans="1:10" ht="16.5" customHeight="1">
      <c r="A103" s="19" t="s">
        <v>11</v>
      </c>
      <c r="B103" s="20" t="s">
        <v>74</v>
      </c>
      <c r="C103" s="20"/>
      <c r="D103" s="191">
        <v>1</v>
      </c>
      <c r="E103" s="239">
        <f>'Interconnect Costs'!K6</f>
        <v>52000</v>
      </c>
      <c r="F103" s="239">
        <f>0.001*D103*E103</f>
        <v>52</v>
      </c>
      <c r="G103" s="240"/>
      <c r="H103" s="142" t="s">
        <v>274</v>
      </c>
      <c r="I103" s="19"/>
      <c r="J103" s="37"/>
    </row>
    <row r="104" spans="1:10" ht="16.5" customHeight="1">
      <c r="A104" s="19" t="s">
        <v>13</v>
      </c>
      <c r="B104" s="20" t="s">
        <v>75</v>
      </c>
      <c r="C104" s="20"/>
      <c r="D104" s="191">
        <v>1</v>
      </c>
      <c r="E104" s="239">
        <v>10000</v>
      </c>
      <c r="F104" s="239">
        <f>0.001*D104*E104</f>
        <v>10</v>
      </c>
      <c r="G104" s="240"/>
      <c r="H104" s="142" t="s">
        <v>10</v>
      </c>
      <c r="I104" s="19"/>
      <c r="J104" s="37"/>
    </row>
    <row r="105" spans="1:10" ht="32.25" customHeight="1">
      <c r="A105" s="19" t="s">
        <v>13</v>
      </c>
      <c r="B105" s="20" t="s">
        <v>76</v>
      </c>
      <c r="C105" s="20"/>
      <c r="D105" s="191">
        <v>1</v>
      </c>
      <c r="E105" s="239">
        <f>'Interconnect Costs'!K7+'Interconnect Costs'!K8+'Interconnect Costs'!K9</f>
        <v>50000</v>
      </c>
      <c r="F105" s="239">
        <f>0.001*D105*E105</f>
        <v>50</v>
      </c>
      <c r="G105" s="240"/>
      <c r="H105" s="142" t="s">
        <v>267</v>
      </c>
      <c r="I105" s="19"/>
      <c r="J105" s="37"/>
    </row>
    <row r="106" spans="1:10" ht="16.5" customHeight="1">
      <c r="A106" s="26" t="s">
        <v>16</v>
      </c>
      <c r="B106" s="192" t="s">
        <v>248</v>
      </c>
      <c r="C106" s="27"/>
      <c r="D106" s="184">
        <v>1</v>
      </c>
      <c r="E106" s="242">
        <v>20000</v>
      </c>
      <c r="F106" s="242">
        <f>0.001*D106*E106</f>
        <v>20</v>
      </c>
      <c r="G106" s="243"/>
      <c r="H106" s="238" t="s">
        <v>10</v>
      </c>
      <c r="I106" s="19"/>
      <c r="J106" s="37"/>
    </row>
    <row r="107" spans="1:10">
      <c r="A107" s="19" t="s">
        <v>21</v>
      </c>
      <c r="B107" s="19" t="s">
        <v>77</v>
      </c>
      <c r="C107" s="19"/>
      <c r="D107" s="191"/>
      <c r="E107" s="239"/>
      <c r="F107" s="239">
        <f>SUM(F102:F106)</f>
        <v>138.19999999999999</v>
      </c>
      <c r="G107" s="240"/>
      <c r="H107" s="142"/>
      <c r="I107" s="19"/>
      <c r="J107" s="37"/>
    </row>
    <row r="108" spans="1:10" ht="16.5" customHeight="1">
      <c r="A108" s="13"/>
      <c r="B108" s="13"/>
      <c r="C108" s="13"/>
      <c r="D108" s="61"/>
      <c r="E108" s="62"/>
      <c r="F108" s="62"/>
      <c r="G108" s="14"/>
      <c r="H108" s="13"/>
      <c r="I108" s="19"/>
      <c r="J108" s="37"/>
    </row>
    <row r="109" spans="1:10" ht="16.5" customHeight="1">
      <c r="A109" s="12">
        <v>12</v>
      </c>
      <c r="B109" s="7" t="s">
        <v>78</v>
      </c>
      <c r="C109" s="7"/>
      <c r="D109" s="61"/>
      <c r="E109" s="62"/>
      <c r="F109" s="62"/>
      <c r="G109" s="14"/>
      <c r="H109" s="13"/>
      <c r="I109" s="19"/>
      <c r="J109" s="37"/>
    </row>
    <row r="110" spans="1:10" ht="16.5" customHeight="1">
      <c r="A110" s="19" t="s">
        <v>8</v>
      </c>
      <c r="B110" s="20" t="s">
        <v>79</v>
      </c>
      <c r="C110" s="20"/>
      <c r="D110" s="61">
        <v>1</v>
      </c>
      <c r="E110" s="62">
        <f>F130*1000*0.08</f>
        <v>347021.73629424925</v>
      </c>
      <c r="F110" s="62">
        <f t="shared" ref="F110:F115" si="6">0.001*D110*E110</f>
        <v>347.02173629424925</v>
      </c>
      <c r="G110" s="14"/>
      <c r="H110" s="36" t="s">
        <v>164</v>
      </c>
      <c r="I110" s="19"/>
      <c r="J110" s="37"/>
    </row>
    <row r="111" spans="1:10">
      <c r="A111" s="19" t="s">
        <v>11</v>
      </c>
      <c r="B111" s="20" t="s">
        <v>80</v>
      </c>
      <c r="C111" s="20"/>
      <c r="D111" s="61">
        <v>1</v>
      </c>
      <c r="E111" s="62">
        <v>25000</v>
      </c>
      <c r="F111" s="62">
        <f t="shared" si="6"/>
        <v>25</v>
      </c>
      <c r="G111" s="14"/>
      <c r="H111" s="13" t="s">
        <v>10</v>
      </c>
      <c r="I111" s="19"/>
      <c r="J111" s="37"/>
    </row>
    <row r="112" spans="1:10" ht="16.5" customHeight="1">
      <c r="A112" s="19" t="s">
        <v>13</v>
      </c>
      <c r="B112" s="20" t="s">
        <v>81</v>
      </c>
      <c r="C112" s="20"/>
      <c r="D112" s="61">
        <v>1</v>
      </c>
      <c r="E112" s="62">
        <v>20000</v>
      </c>
      <c r="F112" s="62">
        <f t="shared" si="6"/>
        <v>20</v>
      </c>
      <c r="G112" s="14"/>
      <c r="H112" s="13" t="s">
        <v>82</v>
      </c>
      <c r="I112" s="19"/>
      <c r="J112" s="37"/>
    </row>
    <row r="113" spans="1:10" ht="16.5" customHeight="1">
      <c r="A113" s="19" t="s">
        <v>16</v>
      </c>
      <c r="B113" s="20" t="s">
        <v>83</v>
      </c>
      <c r="C113" s="20"/>
      <c r="D113" s="61">
        <v>1</v>
      </c>
      <c r="E113" s="62">
        <v>35000</v>
      </c>
      <c r="F113" s="62">
        <f t="shared" si="6"/>
        <v>35</v>
      </c>
      <c r="G113" s="14"/>
      <c r="H113" s="13" t="s">
        <v>91</v>
      </c>
      <c r="I113" s="19"/>
      <c r="J113" s="37"/>
    </row>
    <row r="114" spans="1:10">
      <c r="A114" s="19" t="s">
        <v>19</v>
      </c>
      <c r="B114" s="20" t="s">
        <v>84</v>
      </c>
      <c r="C114" s="20"/>
      <c r="D114" s="61">
        <v>1</v>
      </c>
      <c r="E114" s="62">
        <v>100000</v>
      </c>
      <c r="F114" s="62">
        <f t="shared" si="6"/>
        <v>100</v>
      </c>
      <c r="G114" s="14"/>
      <c r="H114" s="13" t="s">
        <v>10</v>
      </c>
      <c r="I114" s="19"/>
      <c r="J114" s="37"/>
    </row>
    <row r="115" spans="1:10" ht="16.5" customHeight="1">
      <c r="A115" s="26" t="s">
        <v>21</v>
      </c>
      <c r="B115" s="27" t="s">
        <v>20</v>
      </c>
      <c r="C115" s="27"/>
      <c r="D115" s="63"/>
      <c r="E115" s="64"/>
      <c r="F115" s="64">
        <f t="shared" si="6"/>
        <v>0</v>
      </c>
      <c r="G115" s="29"/>
      <c r="H115" s="28"/>
      <c r="I115" s="19"/>
      <c r="J115" s="37"/>
    </row>
    <row r="116" spans="1:10" ht="16.5" customHeight="1">
      <c r="A116" s="19" t="s">
        <v>35</v>
      </c>
      <c r="B116" s="19" t="s">
        <v>85</v>
      </c>
      <c r="C116" s="19"/>
      <c r="D116" s="61"/>
      <c r="E116" s="62"/>
      <c r="F116" s="62">
        <f>SUM(F110:F115)</f>
        <v>527.02173629424919</v>
      </c>
      <c r="G116" s="14"/>
      <c r="H116" s="13"/>
      <c r="I116" s="19"/>
      <c r="J116" s="37"/>
    </row>
    <row r="117" spans="1:10" ht="16.5" customHeight="1">
      <c r="A117" s="13"/>
      <c r="B117" s="13"/>
      <c r="C117" s="13"/>
      <c r="D117" s="61"/>
      <c r="E117" s="62"/>
      <c r="F117" s="62"/>
      <c r="G117" s="14"/>
      <c r="H117" s="13"/>
      <c r="I117" s="19"/>
      <c r="J117" s="37"/>
    </row>
    <row r="118" spans="1:10" ht="16.5" customHeight="1">
      <c r="A118" s="12"/>
      <c r="B118" s="7" t="s">
        <v>86</v>
      </c>
      <c r="C118" s="7"/>
      <c r="D118" s="61"/>
      <c r="E118" s="62"/>
      <c r="F118" s="62"/>
      <c r="G118" s="14"/>
      <c r="H118" s="13"/>
      <c r="I118" s="19"/>
      <c r="J118" s="37"/>
    </row>
    <row r="119" spans="1:10" ht="16.5" customHeight="1">
      <c r="A119" s="12">
        <f>A$2</f>
        <v>1</v>
      </c>
      <c r="B119" s="13" t="str">
        <f>B$2</f>
        <v>General</v>
      </c>
      <c r="C119" s="13"/>
      <c r="D119" s="61"/>
      <c r="E119" s="62"/>
      <c r="F119" s="62">
        <f>F$8</f>
        <v>177</v>
      </c>
      <c r="G119" s="14"/>
      <c r="H119" s="13"/>
      <c r="I119" s="19"/>
      <c r="J119" s="37"/>
    </row>
    <row r="120" spans="1:10" ht="16.5" customHeight="1">
      <c r="A120" s="12">
        <f>A$10</f>
        <v>2</v>
      </c>
      <c r="B120" s="13" t="str">
        <f>B$10</f>
        <v>Powerhouse/Intake</v>
      </c>
      <c r="C120" s="13"/>
      <c r="D120" s="61"/>
      <c r="E120" s="62"/>
      <c r="F120" s="62">
        <f>F$30</f>
        <v>2229.8423916781157</v>
      </c>
      <c r="G120" s="14"/>
      <c r="H120" s="13"/>
      <c r="I120" s="19"/>
      <c r="J120" s="37"/>
    </row>
    <row r="121" spans="1:10" ht="16.5" customHeight="1">
      <c r="A121" s="12">
        <f>A$32</f>
        <v>3</v>
      </c>
      <c r="B121" s="13" t="str">
        <f>B$32</f>
        <v>Equipment</v>
      </c>
      <c r="C121" s="13"/>
      <c r="D121" s="61"/>
      <c r="E121" s="62"/>
      <c r="F121" s="62">
        <f>F$39</f>
        <v>980.22931200000005</v>
      </c>
      <c r="G121" s="14"/>
      <c r="H121" s="13"/>
      <c r="I121" s="19"/>
      <c r="J121" s="37"/>
    </row>
    <row r="122" spans="1:10" ht="16.5" hidden="1" customHeight="1">
      <c r="A122" s="43">
        <f>A$41</f>
        <v>4</v>
      </c>
      <c r="B122" s="11" t="str">
        <f>B$41</f>
        <v xml:space="preserve">Spillway </v>
      </c>
      <c r="E122" s="66"/>
      <c r="F122" s="66">
        <f>F$47</f>
        <v>0</v>
      </c>
      <c r="G122" s="44"/>
      <c r="I122" s="19"/>
      <c r="J122" s="37"/>
    </row>
    <row r="123" spans="1:10" ht="16.5" hidden="1" customHeight="1">
      <c r="A123" s="43">
        <f>A$49</f>
        <v>5</v>
      </c>
      <c r="B123" s="11" t="str">
        <f>B$49</f>
        <v>East (left) Dike</v>
      </c>
      <c r="E123" s="66"/>
      <c r="F123" s="66">
        <f>F$56</f>
        <v>0</v>
      </c>
      <c r="G123" s="33"/>
      <c r="I123" s="19"/>
      <c r="J123" s="37"/>
    </row>
    <row r="124" spans="1:10" ht="16.5" hidden="1" customHeight="1">
      <c r="A124" s="43">
        <f>A$58</f>
        <v>5</v>
      </c>
      <c r="B124" s="11" t="str">
        <f>B$58</f>
        <v>West (right) Dike</v>
      </c>
      <c r="E124" s="66"/>
      <c r="F124" s="66">
        <f>F$65</f>
        <v>0</v>
      </c>
      <c r="G124" s="33"/>
      <c r="I124" s="19"/>
      <c r="J124" s="37"/>
    </row>
    <row r="125" spans="1:10" ht="16.5" hidden="1" customHeight="1">
      <c r="A125" s="43">
        <f>A$67</f>
        <v>7</v>
      </c>
      <c r="B125" s="11" t="str">
        <f>B$67</f>
        <v>Canal</v>
      </c>
      <c r="E125" s="66"/>
      <c r="F125" s="66">
        <f>F$73</f>
        <v>0</v>
      </c>
      <c r="G125" s="33"/>
      <c r="I125" s="19"/>
      <c r="J125" s="37"/>
    </row>
    <row r="126" spans="1:10" ht="16.5" customHeight="1">
      <c r="A126" s="43">
        <f>A$75</f>
        <v>8</v>
      </c>
      <c r="B126" s="11" t="str">
        <f>B$75</f>
        <v>PM&amp;E Measures</v>
      </c>
      <c r="E126" s="66"/>
      <c r="F126" s="66">
        <f>F$82</f>
        <v>247.5</v>
      </c>
      <c r="G126" s="33"/>
      <c r="I126" s="19"/>
      <c r="J126" s="37"/>
    </row>
    <row r="127" spans="1:10" ht="16.5" customHeight="1">
      <c r="A127" s="43">
        <f>A$84</f>
        <v>9</v>
      </c>
      <c r="B127" s="176" t="s">
        <v>247</v>
      </c>
      <c r="E127" s="66"/>
      <c r="F127" s="66">
        <f>F$91</f>
        <v>525</v>
      </c>
      <c r="G127" s="33"/>
      <c r="I127" s="19"/>
      <c r="J127" s="37"/>
    </row>
    <row r="128" spans="1:10" ht="16.5" customHeight="1">
      <c r="A128" s="43">
        <f>A$93</f>
        <v>10</v>
      </c>
      <c r="B128" s="11" t="str">
        <f>B$93</f>
        <v>Land &amp; Land Rights</v>
      </c>
      <c r="E128" s="66"/>
      <c r="F128" s="66">
        <f>F$99</f>
        <v>40</v>
      </c>
      <c r="G128" s="33"/>
      <c r="I128" s="19"/>
      <c r="J128" s="37"/>
    </row>
    <row r="129" spans="1:10" ht="16.5" customHeight="1">
      <c r="A129" s="45">
        <f>A$101</f>
        <v>11</v>
      </c>
      <c r="B129" s="46" t="str">
        <f>B$101</f>
        <v>Interconnection</v>
      </c>
      <c r="C129" s="46"/>
      <c r="D129" s="70"/>
      <c r="E129" s="71"/>
      <c r="F129" s="71">
        <f>F$107</f>
        <v>138.19999999999999</v>
      </c>
      <c r="G129" s="47"/>
      <c r="H129" s="183"/>
      <c r="I129" s="19"/>
      <c r="J129" s="37"/>
    </row>
    <row r="130" spans="1:10" ht="16.5" customHeight="1">
      <c r="A130" s="43"/>
      <c r="B130" s="48" t="s">
        <v>87</v>
      </c>
      <c r="C130" s="48"/>
      <c r="E130" s="66"/>
      <c r="F130" s="66">
        <f>SUM(F119:F129)</f>
        <v>4337.771703678115</v>
      </c>
      <c r="G130" s="33"/>
      <c r="I130" s="19"/>
      <c r="J130" s="37"/>
    </row>
    <row r="131" spans="1:10" ht="16.5" customHeight="1">
      <c r="A131" s="43"/>
      <c r="B131" s="48"/>
      <c r="C131" s="48"/>
      <c r="E131" s="66"/>
      <c r="F131" s="66"/>
      <c r="G131" s="33"/>
      <c r="I131" s="19"/>
      <c r="J131" s="37"/>
    </row>
    <row r="132" spans="1:10" ht="16.5" customHeight="1">
      <c r="A132" s="45">
        <f>A$109</f>
        <v>12</v>
      </c>
      <c r="B132" s="46" t="str">
        <f>B$109</f>
        <v>Indirect Costs</v>
      </c>
      <c r="C132" s="46"/>
      <c r="D132" s="70"/>
      <c r="E132" s="71"/>
      <c r="F132" s="71">
        <f>F$116</f>
        <v>527.02173629424919</v>
      </c>
      <c r="G132" s="47"/>
      <c r="H132" s="46"/>
      <c r="I132" s="19"/>
      <c r="J132" s="37"/>
    </row>
    <row r="133" spans="1:10" ht="16.5" customHeight="1">
      <c r="A133" s="43"/>
      <c r="B133" s="48" t="s">
        <v>88</v>
      </c>
      <c r="C133" s="48"/>
      <c r="E133" s="66"/>
      <c r="F133" s="72">
        <f>F$130+F$132</f>
        <v>4864.7934399723645</v>
      </c>
      <c r="G133" s="49"/>
      <c r="I133" s="19"/>
      <c r="J133" s="37"/>
    </row>
    <row r="134" spans="1:10" ht="16.5" customHeight="1">
      <c r="A134" s="43"/>
      <c r="B134" s="48"/>
      <c r="C134" s="48"/>
      <c r="E134" s="66"/>
      <c r="F134" s="72"/>
      <c r="G134" s="49"/>
      <c r="I134" s="19"/>
      <c r="J134" s="37"/>
    </row>
    <row r="135" spans="1:10" ht="16.5" customHeight="1">
      <c r="A135" s="45">
        <v>13</v>
      </c>
      <c r="B135" s="46" t="s">
        <v>89</v>
      </c>
      <c r="C135" s="46"/>
      <c r="D135" s="73">
        <f>F$133*1000</f>
        <v>4864793.4399723643</v>
      </c>
      <c r="E135" s="245">
        <v>0.2</v>
      </c>
      <c r="F135" s="71">
        <f>D135*E135*0.001</f>
        <v>972.95868799447294</v>
      </c>
      <c r="G135" s="47"/>
      <c r="H135" s="46"/>
      <c r="I135" s="19"/>
      <c r="J135" s="37"/>
    </row>
    <row r="136" spans="1:10" ht="16.5" customHeight="1">
      <c r="E136" s="66"/>
      <c r="F136" s="66"/>
      <c r="G136" s="33"/>
      <c r="I136" s="19"/>
      <c r="J136" s="37"/>
    </row>
    <row r="137" spans="1:10" ht="16.5" customHeight="1">
      <c r="A137" s="12"/>
      <c r="B137" s="50" t="s">
        <v>90</v>
      </c>
      <c r="C137" s="7"/>
      <c r="D137" s="61"/>
      <c r="E137" s="62"/>
      <c r="F137" s="60">
        <f>F$133+F$135</f>
        <v>5837.7521279668372</v>
      </c>
      <c r="G137" s="8"/>
      <c r="H137" s="13"/>
      <c r="I137" s="19"/>
      <c r="J137" s="37"/>
    </row>
    <row r="138" spans="1:10">
      <c r="I138" s="19"/>
      <c r="J138" s="37"/>
    </row>
    <row r="139" spans="1:10">
      <c r="I139" s="19"/>
      <c r="J139" s="37"/>
    </row>
    <row r="140" spans="1:10">
      <c r="I140" s="19"/>
      <c r="J140" s="37"/>
    </row>
    <row r="141" spans="1:10">
      <c r="I141" s="19"/>
      <c r="J141" s="37"/>
    </row>
    <row r="142" spans="1:10">
      <c r="I142" s="19"/>
      <c r="J142" s="37"/>
    </row>
    <row r="143" spans="1:10">
      <c r="I143" s="19"/>
      <c r="J143" s="37"/>
    </row>
    <row r="144" spans="1:10">
      <c r="I144" s="19"/>
      <c r="J144" s="37"/>
    </row>
    <row r="145" spans="9:10">
      <c r="I145" s="19"/>
      <c r="J145" s="37"/>
    </row>
    <row r="146" spans="9:10">
      <c r="I146" s="19"/>
      <c r="J146" s="37"/>
    </row>
    <row r="147" spans="9:10">
      <c r="I147" s="19"/>
      <c r="J147" s="37"/>
    </row>
    <row r="148" spans="9:10">
      <c r="I148" s="19"/>
      <c r="J148" s="37"/>
    </row>
    <row r="149" spans="9:10">
      <c r="I149" s="19"/>
      <c r="J149" s="37"/>
    </row>
    <row r="150" spans="9:10">
      <c r="I150" s="19"/>
      <c r="J150" s="37"/>
    </row>
    <row r="151" spans="9:10">
      <c r="I151" s="19"/>
      <c r="J151" s="37"/>
    </row>
    <row r="152" spans="9:10">
      <c r="I152" s="19"/>
      <c r="J152" s="37"/>
    </row>
    <row r="153" spans="9:10">
      <c r="I153" s="19"/>
      <c r="J153" s="37"/>
    </row>
    <row r="154" spans="9:10">
      <c r="I154" s="19"/>
      <c r="J154" s="37"/>
    </row>
    <row r="155" spans="9:10">
      <c r="I155" s="19"/>
      <c r="J155" s="37"/>
    </row>
    <row r="156" spans="9:10">
      <c r="I156" s="19"/>
      <c r="J156" s="37"/>
    </row>
    <row r="157" spans="9:10">
      <c r="I157" s="19"/>
      <c r="J157" s="37"/>
    </row>
    <row r="158" spans="9:10">
      <c r="I158" s="19"/>
      <c r="J158" s="37"/>
    </row>
    <row r="159" spans="9:10">
      <c r="I159" s="19"/>
      <c r="J159" s="37"/>
    </row>
    <row r="160" spans="9:10">
      <c r="I160" s="19"/>
      <c r="J160" s="37"/>
    </row>
    <row r="161" spans="9:10">
      <c r="I161" s="19"/>
      <c r="J161" s="37"/>
    </row>
    <row r="162" spans="9:10">
      <c r="I162" s="19"/>
      <c r="J162" s="37"/>
    </row>
    <row r="163" spans="9:10">
      <c r="I163" s="19"/>
      <c r="J163" s="37"/>
    </row>
    <row r="164" spans="9:10">
      <c r="I164" s="19"/>
      <c r="J164" s="37"/>
    </row>
    <row r="165" spans="9:10">
      <c r="I165" s="19"/>
      <c r="J165" s="37"/>
    </row>
    <row r="166" spans="9:10">
      <c r="I166" s="19"/>
      <c r="J166" s="37"/>
    </row>
    <row r="167" spans="9:10">
      <c r="I167" s="19"/>
      <c r="J167" s="37"/>
    </row>
    <row r="168" spans="9:10">
      <c r="I168" s="19"/>
      <c r="J168" s="37"/>
    </row>
    <row r="169" spans="9:10">
      <c r="I169" s="19"/>
      <c r="J169" s="37"/>
    </row>
    <row r="170" spans="9:10">
      <c r="I170" s="19"/>
      <c r="J170" s="37"/>
    </row>
    <row r="171" spans="9:10">
      <c r="I171" s="19"/>
      <c r="J171" s="37"/>
    </row>
    <row r="172" spans="9:10">
      <c r="I172" s="19"/>
      <c r="J172" s="37"/>
    </row>
    <row r="173" spans="9:10">
      <c r="I173" s="19"/>
      <c r="J173" s="37"/>
    </row>
    <row r="174" spans="9:10">
      <c r="I174" s="19"/>
      <c r="J174" s="37"/>
    </row>
  </sheetData>
  <mergeCells count="1">
    <mergeCell ref="L3:S11"/>
  </mergeCells>
  <conditionalFormatting sqref="I24:N65536 I3:I5 I17:I22 N12:N22 L3 I7:I15 K18:L22 M20:M22 K5 K8:K15 L12:M15">
    <cfRule type="cellIs" dxfId="17" priority="1" stopIfTrue="1" operator="equal">
      <formula>0</formula>
    </cfRule>
  </conditionalFormatting>
  <printOptions horizontalCentered="1" gridLines="1"/>
  <pageMargins left="0.75" right="0.75" top="0.63" bottom="0.63" header="0.32" footer="0.45"/>
  <pageSetup scale="61" fitToHeight="2" orientation="portrait" r:id="rId1"/>
  <headerFooter alignWithMargins="0">
    <oddHeader>&amp;L&amp;"Arial,Bold Italic"&amp;11&amp;A&amp;C&amp;"Arial,Bold Italic"&amp;11Ten Mile River Hydro
Phase I Feasibility Study&amp;R&amp;"Arial,Bold Italic"&amp;11For Planning Purposes Only</oddHeader>
    <oddFooter>&amp;L&amp;F&amp;R&amp;G</oddFooter>
  </headerFooter>
  <rowBreaks count="1" manualBreakCount="1">
    <brk id="92" max="7" man="1"/>
  </rowBreaks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5"/>
  </sheetPr>
  <dimension ref="A1:S174"/>
  <sheetViews>
    <sheetView view="pageBreakPreview" topLeftCell="A74" zoomScale="75" zoomScaleNormal="80" zoomScaleSheetLayoutView="75" workbookViewId="0">
      <selection activeCell="H11" sqref="H11"/>
    </sheetView>
  </sheetViews>
  <sheetFormatPr defaultRowHeight="12.75"/>
  <cols>
    <col min="1" max="1" width="4.85546875" style="11" customWidth="1"/>
    <col min="2" max="2" width="42" style="11" customWidth="1"/>
    <col min="3" max="3" width="9.140625" style="11"/>
    <col min="4" max="4" width="12.42578125" style="69" customWidth="1"/>
    <col min="5" max="5" width="9.42578125" style="69" customWidth="1"/>
    <col min="6" max="6" width="12.85546875" style="69" customWidth="1"/>
    <col min="7" max="7" width="3.140625" style="11" customWidth="1"/>
    <col min="8" max="8" width="60.7109375" style="11" customWidth="1"/>
    <col min="9" max="9" width="4.85546875" style="11" customWidth="1"/>
    <col min="10" max="10" width="12.28515625" style="51" customWidth="1"/>
    <col min="11" max="11" width="12.42578125" style="10" customWidth="1"/>
    <col min="12" max="12" width="12.5703125" style="10" customWidth="1"/>
    <col min="13" max="14" width="9.140625" style="10"/>
    <col min="15" max="16384" width="9.140625" style="11"/>
  </cols>
  <sheetData>
    <row r="1" spans="1:19" ht="25.5">
      <c r="A1" s="7" t="s">
        <v>0</v>
      </c>
      <c r="B1" s="7" t="s">
        <v>1</v>
      </c>
      <c r="C1" s="7" t="s">
        <v>2</v>
      </c>
      <c r="D1" s="12" t="s">
        <v>3</v>
      </c>
      <c r="E1" s="60" t="s">
        <v>4</v>
      </c>
      <c r="F1" s="60" t="s">
        <v>5</v>
      </c>
      <c r="G1" s="8"/>
      <c r="H1" s="7" t="s">
        <v>6</v>
      </c>
      <c r="I1" s="7"/>
      <c r="J1" s="9"/>
      <c r="L1" s="10" t="s">
        <v>270</v>
      </c>
    </row>
    <row r="2" spans="1:19" ht="16.5" customHeight="1">
      <c r="A2" s="12">
        <v>1</v>
      </c>
      <c r="B2" s="7" t="s">
        <v>7</v>
      </c>
      <c r="C2" s="7"/>
      <c r="D2" s="61"/>
      <c r="E2" s="62"/>
      <c r="F2" s="62"/>
      <c r="G2" s="14"/>
      <c r="H2" s="13"/>
      <c r="I2" s="15"/>
      <c r="J2" s="16"/>
      <c r="K2" s="170"/>
      <c r="L2" s="141" t="s">
        <v>228</v>
      </c>
      <c r="M2" s="17"/>
      <c r="N2" s="17"/>
      <c r="O2" s="18"/>
      <c r="P2" s="18"/>
    </row>
    <row r="3" spans="1:19" ht="16.5" customHeight="1">
      <c r="A3" s="19" t="s">
        <v>8</v>
      </c>
      <c r="B3" s="20" t="s">
        <v>9</v>
      </c>
      <c r="C3" s="20"/>
      <c r="D3" s="61">
        <v>1</v>
      </c>
      <c r="E3" s="62">
        <v>25000</v>
      </c>
      <c r="F3" s="62">
        <f>0.001*D3*E3</f>
        <v>25</v>
      </c>
      <c r="G3" s="14"/>
      <c r="H3" s="13" t="s">
        <v>10</v>
      </c>
      <c r="I3" s="21"/>
      <c r="J3" s="22"/>
      <c r="L3" s="374" t="s">
        <v>291</v>
      </c>
      <c r="M3" s="374"/>
      <c r="N3" s="374"/>
      <c r="O3" s="374"/>
      <c r="P3" s="374"/>
      <c r="Q3" s="374"/>
      <c r="R3" s="374"/>
      <c r="S3" s="374"/>
    </row>
    <row r="4" spans="1:19" ht="16.5" customHeight="1">
      <c r="A4" s="19" t="s">
        <v>11</v>
      </c>
      <c r="B4" s="20" t="s">
        <v>12</v>
      </c>
      <c r="C4" s="20"/>
      <c r="D4" s="61">
        <v>1</v>
      </c>
      <c r="E4" s="62">
        <v>10000</v>
      </c>
      <c r="F4" s="62">
        <f>0.001*D4*E4</f>
        <v>10</v>
      </c>
      <c r="G4" s="14"/>
      <c r="H4" s="13" t="s">
        <v>10</v>
      </c>
      <c r="I4" s="21"/>
      <c r="J4" s="22"/>
      <c r="K4" s="140"/>
      <c r="L4" s="374"/>
      <c r="M4" s="374"/>
      <c r="N4" s="374"/>
      <c r="O4" s="374"/>
      <c r="P4" s="374"/>
      <c r="Q4" s="374"/>
      <c r="R4" s="374"/>
      <c r="S4" s="374"/>
    </row>
    <row r="5" spans="1:19" ht="18.75" customHeight="1">
      <c r="A5" s="19" t="s">
        <v>13</v>
      </c>
      <c r="B5" s="23" t="s">
        <v>14</v>
      </c>
      <c r="C5" s="23" t="s">
        <v>15</v>
      </c>
      <c r="D5" s="61">
        <v>4</v>
      </c>
      <c r="E5" s="62">
        <v>8000</v>
      </c>
      <c r="F5" s="62">
        <f>0.001*D5*E5</f>
        <v>32</v>
      </c>
      <c r="G5" s="14"/>
      <c r="H5" s="142" t="s">
        <v>285</v>
      </c>
      <c r="I5" s="21"/>
      <c r="J5" s="22"/>
      <c r="K5" s="17"/>
      <c r="L5" s="374"/>
      <c r="M5" s="374"/>
      <c r="N5" s="374"/>
      <c r="O5" s="374"/>
      <c r="P5" s="374"/>
      <c r="Q5" s="374"/>
      <c r="R5" s="374"/>
      <c r="S5" s="374"/>
    </row>
    <row r="6" spans="1:19" ht="16.5" customHeight="1">
      <c r="A6" s="19" t="s">
        <v>16</v>
      </c>
      <c r="B6" s="23" t="s">
        <v>17</v>
      </c>
      <c r="C6" s="23" t="s">
        <v>18</v>
      </c>
      <c r="D6" s="61">
        <v>2000</v>
      </c>
      <c r="E6" s="62">
        <v>10</v>
      </c>
      <c r="F6" s="62">
        <f>0.001*D6*E6</f>
        <v>20</v>
      </c>
      <c r="G6" s="14"/>
      <c r="H6" s="142" t="s">
        <v>285</v>
      </c>
      <c r="I6" s="18"/>
      <c r="J6" s="24"/>
      <c r="K6" s="25"/>
      <c r="L6" s="374"/>
      <c r="M6" s="374"/>
      <c r="N6" s="374"/>
      <c r="O6" s="374"/>
      <c r="P6" s="374"/>
      <c r="Q6" s="374"/>
      <c r="R6" s="374"/>
      <c r="S6" s="374"/>
    </row>
    <row r="7" spans="1:19" ht="16.5" customHeight="1">
      <c r="A7" s="26" t="s">
        <v>19</v>
      </c>
      <c r="B7" s="27" t="s">
        <v>151</v>
      </c>
      <c r="C7" s="27"/>
      <c r="D7" s="184">
        <v>1</v>
      </c>
      <c r="E7" s="64">
        <f>('Phase I Dam Repairs'!D3+'Phase I Dam Repairs'!D4)*1000</f>
        <v>90000</v>
      </c>
      <c r="F7" s="64">
        <f>0.001*D7*E7</f>
        <v>90</v>
      </c>
      <c r="G7" s="29"/>
      <c r="H7" s="238" t="s">
        <v>286</v>
      </c>
      <c r="I7" s="21"/>
      <c r="J7" s="22"/>
      <c r="K7" s="30"/>
      <c r="L7" s="374"/>
      <c r="M7" s="374"/>
      <c r="N7" s="374"/>
      <c r="O7" s="374"/>
      <c r="P7" s="374"/>
      <c r="Q7" s="374"/>
      <c r="R7" s="374"/>
      <c r="S7" s="374"/>
    </row>
    <row r="8" spans="1:19" ht="16.5" customHeight="1">
      <c r="A8" s="19" t="s">
        <v>21</v>
      </c>
      <c r="B8" s="19" t="s">
        <v>22</v>
      </c>
      <c r="C8" s="19"/>
      <c r="D8" s="61"/>
      <c r="E8" s="62"/>
      <c r="F8" s="62">
        <f>SUM(F2:F7)</f>
        <v>177</v>
      </c>
      <c r="G8" s="14"/>
      <c r="H8" s="13"/>
      <c r="I8" s="21"/>
      <c r="J8" s="22"/>
      <c r="K8" s="31"/>
      <c r="L8" s="374"/>
      <c r="M8" s="374"/>
      <c r="N8" s="374"/>
      <c r="O8" s="374"/>
      <c r="P8" s="374"/>
      <c r="Q8" s="374"/>
      <c r="R8" s="374"/>
      <c r="S8" s="374"/>
    </row>
    <row r="9" spans="1:19" ht="16.5" customHeight="1">
      <c r="A9" s="19"/>
      <c r="B9" s="13"/>
      <c r="C9" s="13"/>
      <c r="D9" s="61"/>
      <c r="E9" s="62"/>
      <c r="F9" s="62"/>
      <c r="G9" s="14"/>
      <c r="H9" s="13"/>
      <c r="I9" s="21"/>
      <c r="J9" s="22"/>
      <c r="K9" s="31"/>
      <c r="L9" s="374"/>
      <c r="M9" s="374"/>
      <c r="N9" s="374"/>
      <c r="O9" s="374"/>
      <c r="P9" s="374"/>
      <c r="Q9" s="374"/>
      <c r="R9" s="374"/>
      <c r="S9" s="374"/>
    </row>
    <row r="10" spans="1:19" ht="16.5" customHeight="1">
      <c r="A10" s="12">
        <v>2</v>
      </c>
      <c r="B10" s="7" t="s">
        <v>130</v>
      </c>
      <c r="C10" s="7"/>
      <c r="D10" s="65"/>
      <c r="E10" s="62"/>
      <c r="F10" s="62"/>
      <c r="G10" s="14"/>
      <c r="H10" s="13"/>
      <c r="I10" s="21"/>
      <c r="J10" s="22"/>
      <c r="K10" s="31"/>
      <c r="L10" s="374"/>
      <c r="M10" s="374"/>
      <c r="N10" s="374"/>
      <c r="O10" s="374"/>
      <c r="P10" s="374"/>
      <c r="Q10" s="374"/>
      <c r="R10" s="374"/>
      <c r="S10" s="374"/>
    </row>
    <row r="11" spans="1:19" ht="16.5" customHeight="1">
      <c r="A11" s="19" t="s">
        <v>8</v>
      </c>
      <c r="B11" s="20" t="s">
        <v>114</v>
      </c>
      <c r="C11" s="32"/>
      <c r="D11" s="66"/>
      <c r="E11" s="62"/>
      <c r="F11" s="62">
        <v>100</v>
      </c>
      <c r="G11" s="14"/>
      <c r="H11" s="13" t="s">
        <v>10</v>
      </c>
      <c r="I11" s="21"/>
      <c r="J11" s="22"/>
      <c r="K11" s="31"/>
      <c r="L11" s="374"/>
      <c r="M11" s="374"/>
      <c r="N11" s="374"/>
      <c r="O11" s="374"/>
      <c r="P11" s="374"/>
      <c r="Q11" s="374"/>
      <c r="R11" s="374"/>
      <c r="S11" s="374"/>
    </row>
    <row r="12" spans="1:19" ht="16.5" customHeight="1">
      <c r="A12" s="19" t="s">
        <v>11</v>
      </c>
      <c r="B12" s="194" t="s">
        <v>376</v>
      </c>
      <c r="C12" s="32"/>
      <c r="D12" s="66"/>
      <c r="E12" s="62"/>
      <c r="F12" s="62">
        <v>10</v>
      </c>
      <c r="G12" s="14"/>
      <c r="H12" s="13" t="s">
        <v>10</v>
      </c>
      <c r="I12" s="21"/>
      <c r="J12" s="22"/>
      <c r="K12" s="31"/>
      <c r="L12" s="31"/>
      <c r="M12" s="31"/>
      <c r="N12" s="17"/>
      <c r="O12" s="18"/>
      <c r="P12" s="18"/>
    </row>
    <row r="13" spans="1:19" ht="16.5" customHeight="1">
      <c r="A13" s="19" t="s">
        <v>13</v>
      </c>
      <c r="B13" s="194" t="s">
        <v>318</v>
      </c>
      <c r="C13" s="20"/>
      <c r="D13" s="66">
        <v>1</v>
      </c>
      <c r="E13" s="259">
        <v>100000</v>
      </c>
      <c r="F13" s="62">
        <f t="shared" ref="F13:F29" si="0">0.001*D13*E13</f>
        <v>100</v>
      </c>
      <c r="G13" s="14"/>
      <c r="H13" s="142" t="s">
        <v>395</v>
      </c>
      <c r="I13" s="21"/>
      <c r="J13" s="22"/>
      <c r="K13" s="31"/>
      <c r="L13" s="31"/>
      <c r="M13" s="31"/>
      <c r="N13" s="17"/>
      <c r="O13" s="18"/>
      <c r="P13" s="18"/>
    </row>
    <row r="14" spans="1:19" ht="16.5" hidden="1" customHeight="1">
      <c r="A14" s="19" t="s">
        <v>25</v>
      </c>
      <c r="B14" s="34" t="s">
        <v>26</v>
      </c>
      <c r="C14" s="23" t="s">
        <v>27</v>
      </c>
      <c r="D14" s="189">
        <v>0</v>
      </c>
      <c r="E14" s="186">
        <v>100</v>
      </c>
      <c r="F14" s="186">
        <f t="shared" si="0"/>
        <v>0</v>
      </c>
      <c r="G14" s="187"/>
      <c r="H14" s="188" t="s">
        <v>288</v>
      </c>
      <c r="I14" s="21"/>
      <c r="J14" s="22"/>
      <c r="K14" s="17"/>
      <c r="L14" s="17"/>
      <c r="M14" s="17"/>
      <c r="N14" s="17"/>
      <c r="O14" s="18"/>
      <c r="P14" s="18"/>
    </row>
    <row r="15" spans="1:19" ht="27.75" hidden="1" customHeight="1">
      <c r="A15" s="19" t="s">
        <v>28</v>
      </c>
      <c r="B15" s="35" t="s">
        <v>29</v>
      </c>
      <c r="C15" s="23" t="s">
        <v>27</v>
      </c>
      <c r="D15" s="190">
        <v>0</v>
      </c>
      <c r="E15" s="186">
        <v>100</v>
      </c>
      <c r="F15" s="186">
        <f t="shared" si="0"/>
        <v>0</v>
      </c>
      <c r="G15" s="187"/>
      <c r="H15" s="188" t="s">
        <v>288</v>
      </c>
      <c r="I15" s="21"/>
      <c r="J15" s="22"/>
      <c r="K15" s="17"/>
      <c r="L15" s="17"/>
      <c r="M15" s="17"/>
      <c r="N15" s="17"/>
      <c r="O15" s="18"/>
      <c r="P15" s="18"/>
    </row>
    <row r="16" spans="1:19" ht="16.5" hidden="1" customHeight="1">
      <c r="A16" s="19" t="s">
        <v>30</v>
      </c>
      <c r="B16" s="35" t="s">
        <v>31</v>
      </c>
      <c r="C16" s="23" t="s">
        <v>27</v>
      </c>
      <c r="D16" s="190">
        <v>0</v>
      </c>
      <c r="E16" s="186">
        <v>100</v>
      </c>
      <c r="F16" s="186">
        <f t="shared" si="0"/>
        <v>0</v>
      </c>
      <c r="G16" s="187"/>
      <c r="H16" s="188" t="s">
        <v>288</v>
      </c>
      <c r="I16" s="18"/>
      <c r="J16" s="24"/>
      <c r="K16" s="25"/>
      <c r="L16" s="25"/>
      <c r="M16" s="25"/>
      <c r="N16" s="17"/>
      <c r="O16" s="18"/>
      <c r="P16" s="18"/>
    </row>
    <row r="17" spans="1:16" ht="16.5" hidden="1" customHeight="1">
      <c r="A17" s="21" t="s">
        <v>16</v>
      </c>
      <c r="B17" s="23" t="s">
        <v>32</v>
      </c>
      <c r="C17" s="23"/>
      <c r="D17" s="190">
        <v>0</v>
      </c>
      <c r="E17" s="186">
        <v>10000</v>
      </c>
      <c r="F17" s="186">
        <f t="shared" si="0"/>
        <v>0</v>
      </c>
      <c r="G17" s="187"/>
      <c r="H17" s="188" t="s">
        <v>288</v>
      </c>
      <c r="I17" s="21"/>
      <c r="J17" s="22"/>
      <c r="K17" s="30"/>
      <c r="L17" s="30"/>
      <c r="M17" s="30"/>
      <c r="N17" s="17"/>
      <c r="O17" s="18"/>
      <c r="P17" s="18"/>
    </row>
    <row r="18" spans="1:16" ht="16.5" hidden="1" customHeight="1">
      <c r="A18" s="19" t="s">
        <v>19</v>
      </c>
      <c r="B18" s="23" t="s">
        <v>33</v>
      </c>
      <c r="C18" s="23" t="s">
        <v>34</v>
      </c>
      <c r="D18" s="190">
        <v>0</v>
      </c>
      <c r="E18" s="186">
        <v>1000</v>
      </c>
      <c r="F18" s="186">
        <f t="shared" si="0"/>
        <v>0</v>
      </c>
      <c r="G18" s="187"/>
      <c r="H18" s="188" t="s">
        <v>288</v>
      </c>
      <c r="I18" s="21"/>
      <c r="J18" s="22"/>
      <c r="K18" s="31"/>
      <c r="L18" s="31"/>
      <c r="M18" s="30"/>
      <c r="N18" s="17"/>
      <c r="O18" s="18"/>
      <c r="P18" s="18"/>
    </row>
    <row r="19" spans="1:16" ht="16.5" hidden="1" customHeight="1">
      <c r="A19" s="19" t="s">
        <v>21</v>
      </c>
      <c r="B19" s="23" t="s">
        <v>57</v>
      </c>
      <c r="C19" s="23" t="s">
        <v>27</v>
      </c>
      <c r="D19" s="190">
        <v>0</v>
      </c>
      <c r="E19" s="186">
        <v>750</v>
      </c>
      <c r="F19" s="186">
        <f t="shared" si="0"/>
        <v>0</v>
      </c>
      <c r="G19" s="187"/>
      <c r="H19" s="188" t="s">
        <v>288</v>
      </c>
      <c r="I19" s="21"/>
      <c r="J19" s="22"/>
      <c r="K19" s="31"/>
      <c r="L19" s="31"/>
      <c r="M19" s="30"/>
      <c r="N19" s="17"/>
      <c r="O19" s="18"/>
      <c r="P19" s="18"/>
    </row>
    <row r="20" spans="1:16" ht="16.5" hidden="1" customHeight="1">
      <c r="A20" s="19" t="s">
        <v>35</v>
      </c>
      <c r="B20" s="23" t="s">
        <v>124</v>
      </c>
      <c r="C20" s="23" t="s">
        <v>23</v>
      </c>
      <c r="D20" s="190">
        <v>0</v>
      </c>
      <c r="E20" s="186">
        <v>100</v>
      </c>
      <c r="F20" s="186">
        <f t="shared" si="0"/>
        <v>0</v>
      </c>
      <c r="G20" s="187"/>
      <c r="H20" s="188" t="s">
        <v>288</v>
      </c>
      <c r="I20" s="21"/>
      <c r="J20" s="22"/>
      <c r="K20" s="31"/>
      <c r="L20" s="31"/>
      <c r="M20" s="31"/>
      <c r="N20" s="17"/>
      <c r="O20" s="18"/>
      <c r="P20" s="18"/>
    </row>
    <row r="21" spans="1:16" ht="16.5" hidden="1" customHeight="1">
      <c r="A21" s="19" t="s">
        <v>36</v>
      </c>
      <c r="B21" s="20" t="s">
        <v>37</v>
      </c>
      <c r="C21" s="32" t="s">
        <v>23</v>
      </c>
      <c r="D21" s="189">
        <v>0</v>
      </c>
      <c r="E21" s="186">
        <v>400</v>
      </c>
      <c r="F21" s="186">
        <f t="shared" si="0"/>
        <v>0</v>
      </c>
      <c r="G21" s="187"/>
      <c r="H21" s="188" t="s">
        <v>158</v>
      </c>
      <c r="I21" s="21"/>
      <c r="J21" s="22"/>
      <c r="K21" s="31"/>
      <c r="L21" s="31"/>
      <c r="M21" s="31"/>
      <c r="N21" s="17"/>
      <c r="O21" s="18"/>
      <c r="P21" s="18"/>
    </row>
    <row r="22" spans="1:16" ht="16.5" hidden="1" customHeight="1">
      <c r="A22" s="19" t="s">
        <v>25</v>
      </c>
      <c r="B22" s="20" t="s">
        <v>38</v>
      </c>
      <c r="C22" s="32"/>
      <c r="D22" s="66">
        <v>0</v>
      </c>
      <c r="E22" s="62">
        <v>150000</v>
      </c>
      <c r="F22" s="62">
        <f t="shared" si="0"/>
        <v>0</v>
      </c>
      <c r="G22" s="14"/>
      <c r="H22" s="36" t="s">
        <v>159</v>
      </c>
      <c r="I22" s="21"/>
      <c r="J22" s="22"/>
      <c r="K22" s="31"/>
      <c r="L22" s="31"/>
      <c r="M22" s="31"/>
      <c r="N22" s="17"/>
      <c r="O22" s="18"/>
      <c r="P22" s="18"/>
    </row>
    <row r="23" spans="1:16" ht="16.5" hidden="1" customHeight="1">
      <c r="A23" s="19" t="s">
        <v>39</v>
      </c>
      <c r="B23" s="23" t="s">
        <v>160</v>
      </c>
      <c r="C23" s="20"/>
      <c r="D23" s="61">
        <v>0</v>
      </c>
      <c r="E23" s="62">
        <v>15000</v>
      </c>
      <c r="F23" s="62">
        <f t="shared" si="0"/>
        <v>0</v>
      </c>
      <c r="G23" s="14"/>
      <c r="H23" s="36" t="s">
        <v>10</v>
      </c>
      <c r="J23" s="11"/>
      <c r="K23" s="11"/>
      <c r="L23" s="11"/>
      <c r="M23" s="11"/>
      <c r="N23" s="11"/>
    </row>
    <row r="24" spans="1:16" ht="24" customHeight="1">
      <c r="A24" s="19" t="s">
        <v>40</v>
      </c>
      <c r="B24" s="194" t="s">
        <v>292</v>
      </c>
      <c r="C24" s="194" t="s">
        <v>18</v>
      </c>
      <c r="D24" s="61">
        <v>2300</v>
      </c>
      <c r="E24" s="62">
        <f>'Penstock Costs'!G18</f>
        <v>444.61828589999988</v>
      </c>
      <c r="F24" s="62">
        <f t="shared" si="0"/>
        <v>1022.6220575699998</v>
      </c>
      <c r="G24" s="14"/>
      <c r="H24" s="142" t="s">
        <v>365</v>
      </c>
      <c r="I24" s="19"/>
      <c r="J24" s="37"/>
    </row>
    <row r="25" spans="1:16" ht="16.5" customHeight="1">
      <c r="A25" s="19" t="s">
        <v>41</v>
      </c>
      <c r="B25" s="20" t="s">
        <v>42</v>
      </c>
      <c r="C25" s="20"/>
      <c r="D25" s="61">
        <v>1</v>
      </c>
      <c r="E25" s="62">
        <v>5000</v>
      </c>
      <c r="F25" s="62">
        <f t="shared" si="0"/>
        <v>5</v>
      </c>
      <c r="G25" s="14"/>
      <c r="H25" s="13" t="s">
        <v>10</v>
      </c>
      <c r="I25" s="19"/>
      <c r="J25" s="37"/>
    </row>
    <row r="26" spans="1:16" ht="16.5" customHeight="1">
      <c r="A26" s="19" t="s">
        <v>43</v>
      </c>
      <c r="B26" s="20" t="s">
        <v>44</v>
      </c>
      <c r="C26" s="20"/>
      <c r="D26" s="61">
        <v>1</v>
      </c>
      <c r="E26" s="239">
        <v>10000</v>
      </c>
      <c r="F26" s="239">
        <f t="shared" si="0"/>
        <v>10</v>
      </c>
      <c r="G26" s="240"/>
      <c r="H26" s="142" t="s">
        <v>10</v>
      </c>
      <c r="I26" s="19"/>
      <c r="J26" s="37"/>
    </row>
    <row r="27" spans="1:16" ht="25.5" customHeight="1">
      <c r="A27" s="19" t="s">
        <v>45</v>
      </c>
      <c r="B27" s="20" t="s">
        <v>46</v>
      </c>
      <c r="C27" s="20"/>
      <c r="D27" s="61">
        <v>1</v>
      </c>
      <c r="E27" s="239">
        <v>10000</v>
      </c>
      <c r="F27" s="239">
        <f t="shared" si="0"/>
        <v>10</v>
      </c>
      <c r="G27" s="240"/>
      <c r="H27" s="142" t="s">
        <v>10</v>
      </c>
      <c r="I27" s="19"/>
      <c r="J27" s="37"/>
    </row>
    <row r="28" spans="1:16">
      <c r="A28" s="19" t="s">
        <v>47</v>
      </c>
      <c r="B28" s="20" t="s">
        <v>48</v>
      </c>
      <c r="C28" s="20"/>
      <c r="D28" s="61">
        <v>1</v>
      </c>
      <c r="E28" s="62">
        <v>5000</v>
      </c>
      <c r="F28" s="62">
        <f t="shared" si="0"/>
        <v>5</v>
      </c>
      <c r="G28" s="14"/>
      <c r="H28" s="13" t="s">
        <v>10</v>
      </c>
      <c r="I28" s="19"/>
      <c r="J28" s="37"/>
    </row>
    <row r="29" spans="1:16" s="328" customFormat="1" ht="16.5" customHeight="1">
      <c r="A29" s="323" t="s">
        <v>49</v>
      </c>
      <c r="B29" s="324" t="s">
        <v>38</v>
      </c>
      <c r="C29" s="324"/>
      <c r="D29" s="300">
        <v>1</v>
      </c>
      <c r="E29" s="301">
        <v>150000</v>
      </c>
      <c r="F29" s="301">
        <f t="shared" si="0"/>
        <v>150</v>
      </c>
      <c r="G29" s="302"/>
      <c r="H29" s="338"/>
      <c r="I29" s="325"/>
      <c r="J29" s="326"/>
      <c r="K29" s="327"/>
      <c r="L29" s="327"/>
      <c r="M29" s="327"/>
      <c r="N29" s="327"/>
    </row>
    <row r="30" spans="1:16">
      <c r="A30" s="19" t="s">
        <v>50</v>
      </c>
      <c r="B30" s="264" t="s">
        <v>385</v>
      </c>
      <c r="C30" s="19"/>
      <c r="D30" s="61"/>
      <c r="E30" s="62"/>
      <c r="F30" s="62">
        <f>SUM(F11:F29)</f>
        <v>1412.6220575699999</v>
      </c>
      <c r="G30" s="14"/>
      <c r="H30" s="13"/>
      <c r="I30" s="19"/>
      <c r="J30" s="37"/>
    </row>
    <row r="31" spans="1:16" ht="16.5" customHeight="1">
      <c r="A31" s="19"/>
      <c r="B31" s="13"/>
      <c r="C31" s="13"/>
      <c r="D31" s="61"/>
      <c r="E31" s="62"/>
      <c r="F31" s="62"/>
      <c r="G31" s="14"/>
      <c r="H31" s="13"/>
      <c r="I31" s="19"/>
      <c r="J31" s="37"/>
    </row>
    <row r="32" spans="1:16" ht="16.5" customHeight="1">
      <c r="A32" s="12">
        <v>3</v>
      </c>
      <c r="B32" s="7" t="s">
        <v>52</v>
      </c>
      <c r="C32" s="7"/>
      <c r="D32" s="61"/>
      <c r="E32" s="62"/>
      <c r="F32" s="62"/>
      <c r="G32" s="14"/>
      <c r="H32" s="13"/>
      <c r="I32" s="19"/>
      <c r="J32" s="37"/>
    </row>
    <row r="33" spans="1:10" s="10" customFormat="1">
      <c r="A33" s="19" t="s">
        <v>8</v>
      </c>
      <c r="B33" s="194" t="s">
        <v>319</v>
      </c>
      <c r="C33" s="20"/>
      <c r="D33" s="61">
        <v>1</v>
      </c>
      <c r="E33" s="62">
        <v>400000</v>
      </c>
      <c r="F33" s="62">
        <f t="shared" ref="F33:F38" si="1">0.001*D33*E33</f>
        <v>400</v>
      </c>
      <c r="G33"/>
      <c r="H33" s="36" t="s">
        <v>10</v>
      </c>
      <c r="I33" s="19"/>
      <c r="J33" s="37"/>
    </row>
    <row r="34" spans="1:10" s="10" customFormat="1" ht="20.25" customHeight="1">
      <c r="A34" s="19" t="s">
        <v>11</v>
      </c>
      <c r="B34" s="23" t="s">
        <v>161</v>
      </c>
      <c r="C34" s="20"/>
      <c r="D34" s="61">
        <v>1</v>
      </c>
      <c r="E34" s="62">
        <f>SUM(F33,F35:F38)*1000*0.2</f>
        <v>103000</v>
      </c>
      <c r="F34" s="62">
        <f t="shared" si="1"/>
        <v>103</v>
      </c>
      <c r="G34" s="14"/>
      <c r="H34" s="36" t="s">
        <v>162</v>
      </c>
      <c r="I34" s="19"/>
      <c r="J34" s="37"/>
    </row>
    <row r="35" spans="1:10" s="10" customFormat="1" ht="16.5" customHeight="1">
      <c r="A35" s="19" t="s">
        <v>13</v>
      </c>
      <c r="B35" s="20" t="s">
        <v>53</v>
      </c>
      <c r="C35" s="20"/>
      <c r="D35" s="191">
        <v>1</v>
      </c>
      <c r="E35" s="239">
        <f>'Interconnect Costs'!K10</f>
        <v>20000</v>
      </c>
      <c r="F35" s="239">
        <f t="shared" si="1"/>
        <v>20</v>
      </c>
      <c r="G35" s="240"/>
      <c r="H35" s="241" t="s">
        <v>274</v>
      </c>
      <c r="I35" s="19"/>
      <c r="J35" s="37"/>
    </row>
    <row r="36" spans="1:10" s="10" customFormat="1" ht="16.5" customHeight="1">
      <c r="A36" s="19" t="s">
        <v>16</v>
      </c>
      <c r="B36" s="194" t="s">
        <v>320</v>
      </c>
      <c r="C36" s="20"/>
      <c r="D36" s="191">
        <v>1</v>
      </c>
      <c r="E36" s="239">
        <v>50000</v>
      </c>
      <c r="F36" s="239">
        <f t="shared" si="1"/>
        <v>50</v>
      </c>
      <c r="G36" s="240"/>
      <c r="H36" s="142" t="s">
        <v>384</v>
      </c>
      <c r="I36" s="19"/>
      <c r="J36" s="37"/>
    </row>
    <row r="37" spans="1:10" s="10" customFormat="1">
      <c r="A37" s="19" t="s">
        <v>19</v>
      </c>
      <c r="B37" s="20" t="s">
        <v>55</v>
      </c>
      <c r="C37" s="20"/>
      <c r="D37" s="191">
        <v>1</v>
      </c>
      <c r="E37" s="239">
        <v>20000</v>
      </c>
      <c r="F37" s="239">
        <f t="shared" si="1"/>
        <v>20</v>
      </c>
      <c r="G37" s="240"/>
      <c r="H37" s="142" t="s">
        <v>10</v>
      </c>
      <c r="I37" s="19"/>
      <c r="J37" s="37"/>
    </row>
    <row r="38" spans="1:10" s="10" customFormat="1" ht="16.5" customHeight="1">
      <c r="A38" s="26" t="s">
        <v>21</v>
      </c>
      <c r="B38" s="192" t="s">
        <v>321</v>
      </c>
      <c r="C38" s="27"/>
      <c r="D38" s="184">
        <v>1</v>
      </c>
      <c r="E38" s="64">
        <v>25000</v>
      </c>
      <c r="F38" s="64">
        <f t="shared" si="1"/>
        <v>25</v>
      </c>
      <c r="G38" s="29"/>
      <c r="H38" s="238" t="s">
        <v>10</v>
      </c>
      <c r="I38" s="19"/>
      <c r="J38" s="37"/>
    </row>
    <row r="39" spans="1:10" s="10" customFormat="1" ht="16.5" customHeight="1">
      <c r="A39" s="19" t="s">
        <v>35</v>
      </c>
      <c r="B39" s="19" t="s">
        <v>56</v>
      </c>
      <c r="C39" s="19"/>
      <c r="D39" s="61"/>
      <c r="E39" s="62"/>
      <c r="F39" s="62">
        <f>SUM(F33:F38)</f>
        <v>618</v>
      </c>
      <c r="G39" s="14"/>
      <c r="H39" s="13"/>
      <c r="I39" s="19"/>
      <c r="J39" s="37"/>
    </row>
    <row r="40" spans="1:10" s="10" customFormat="1" ht="16.5" hidden="1" customHeight="1">
      <c r="A40" s="19"/>
      <c r="B40" s="13"/>
      <c r="C40" s="13"/>
      <c r="D40" s="61"/>
      <c r="E40" s="62"/>
      <c r="F40" s="62"/>
      <c r="G40" s="14"/>
      <c r="H40" s="13"/>
      <c r="I40" s="19"/>
      <c r="J40" s="37"/>
    </row>
    <row r="41" spans="1:10" s="10" customFormat="1" ht="16.5" hidden="1" customHeight="1">
      <c r="A41" s="12">
        <v>4</v>
      </c>
      <c r="B41" s="7" t="s">
        <v>132</v>
      </c>
      <c r="C41" s="7"/>
      <c r="D41" s="61"/>
      <c r="E41" s="62"/>
      <c r="F41" s="62"/>
      <c r="G41" s="14"/>
      <c r="H41" s="13"/>
      <c r="I41" s="19"/>
      <c r="J41" s="37"/>
    </row>
    <row r="42" spans="1:10" s="10" customFormat="1" ht="16.5" hidden="1" customHeight="1">
      <c r="A42" s="19" t="s">
        <v>8</v>
      </c>
      <c r="B42" s="20" t="s">
        <v>133</v>
      </c>
      <c r="C42" s="23" t="s">
        <v>23</v>
      </c>
      <c r="D42" s="61"/>
      <c r="E42" s="62">
        <v>40</v>
      </c>
      <c r="F42" s="62">
        <f>0.001*D42*E42</f>
        <v>0</v>
      </c>
      <c r="G42" s="14"/>
      <c r="H42" s="13" t="s">
        <v>10</v>
      </c>
      <c r="I42" s="19"/>
      <c r="J42" s="37"/>
    </row>
    <row r="43" spans="1:10" s="10" customFormat="1" ht="16.5" hidden="1" customHeight="1">
      <c r="A43" s="19" t="s">
        <v>11</v>
      </c>
      <c r="B43" s="20" t="s">
        <v>24</v>
      </c>
      <c r="C43" s="23" t="s">
        <v>27</v>
      </c>
      <c r="D43" s="61"/>
      <c r="E43" s="62">
        <v>15</v>
      </c>
      <c r="F43" s="62">
        <f>0.001*D43*E43</f>
        <v>0</v>
      </c>
      <c r="G43" s="14"/>
      <c r="H43" s="13" t="s">
        <v>10</v>
      </c>
      <c r="I43" s="19"/>
      <c r="J43" s="37"/>
    </row>
    <row r="44" spans="1:10" s="10" customFormat="1" ht="16.5" hidden="1" customHeight="1">
      <c r="A44" s="19" t="s">
        <v>13</v>
      </c>
      <c r="B44" s="20" t="s">
        <v>134</v>
      </c>
      <c r="C44" s="23" t="s">
        <v>27</v>
      </c>
      <c r="D44" s="61"/>
      <c r="E44" s="62">
        <v>450</v>
      </c>
      <c r="F44" s="62">
        <f>0.001*D44*E44</f>
        <v>0</v>
      </c>
      <c r="G44" s="14"/>
      <c r="H44" s="13" t="s">
        <v>10</v>
      </c>
      <c r="I44" s="19"/>
      <c r="J44" s="37"/>
    </row>
    <row r="45" spans="1:10" s="10" customFormat="1" hidden="1">
      <c r="A45" s="19" t="s">
        <v>16</v>
      </c>
      <c r="B45" s="20" t="s">
        <v>135</v>
      </c>
      <c r="C45" s="20"/>
      <c r="D45" s="61"/>
      <c r="E45" s="62"/>
      <c r="F45" s="62">
        <f>0.001*D45*E45</f>
        <v>0</v>
      </c>
      <c r="G45" s="14"/>
      <c r="H45" s="36"/>
      <c r="I45" s="19"/>
      <c r="J45" s="37"/>
    </row>
    <row r="46" spans="1:10" s="10" customFormat="1" ht="16.5" hidden="1" customHeight="1">
      <c r="A46" s="26" t="s">
        <v>19</v>
      </c>
      <c r="B46" s="27" t="s">
        <v>20</v>
      </c>
      <c r="C46" s="27"/>
      <c r="D46" s="63"/>
      <c r="E46" s="64"/>
      <c r="F46" s="64">
        <f>0.001*D46*E46</f>
        <v>0</v>
      </c>
      <c r="G46" s="29"/>
      <c r="H46" s="28"/>
      <c r="I46" s="19"/>
      <c r="J46" s="37"/>
    </row>
    <row r="47" spans="1:10" s="10" customFormat="1" ht="16.5" hidden="1" customHeight="1">
      <c r="A47" s="19" t="s">
        <v>21</v>
      </c>
      <c r="B47" s="19" t="s">
        <v>136</v>
      </c>
      <c r="C47" s="19"/>
      <c r="D47" s="61"/>
      <c r="E47" s="62"/>
      <c r="F47" s="62">
        <f>SUM(F42:F46)</f>
        <v>0</v>
      </c>
      <c r="G47" s="14"/>
      <c r="H47" s="13"/>
      <c r="I47" s="19"/>
      <c r="J47" s="37"/>
    </row>
    <row r="48" spans="1:10" s="10" customFormat="1" ht="16.5" hidden="1" customHeight="1">
      <c r="A48" s="19"/>
      <c r="B48" s="13"/>
      <c r="C48" s="13"/>
      <c r="D48" s="61"/>
      <c r="E48" s="62"/>
      <c r="F48" s="62"/>
      <c r="G48" s="14"/>
      <c r="H48" s="13"/>
      <c r="I48" s="19"/>
      <c r="J48" s="37"/>
    </row>
    <row r="49" spans="1:10" s="10" customFormat="1" ht="16.5" hidden="1" customHeight="1">
      <c r="A49" s="12">
        <v>5</v>
      </c>
      <c r="B49" s="7" t="s">
        <v>137</v>
      </c>
      <c r="C49" s="7"/>
      <c r="D49" s="61"/>
      <c r="E49" s="62"/>
      <c r="F49" s="62"/>
      <c r="G49" s="14"/>
      <c r="H49" s="13"/>
      <c r="I49" s="19"/>
      <c r="J49" s="37"/>
    </row>
    <row r="50" spans="1:10" s="10" customFormat="1" ht="16.5" hidden="1" customHeight="1">
      <c r="A50" s="39" t="s">
        <v>8</v>
      </c>
      <c r="B50" s="40" t="s">
        <v>138</v>
      </c>
      <c r="C50" s="40"/>
      <c r="D50" s="61"/>
      <c r="E50" s="62">
        <v>1000</v>
      </c>
      <c r="F50" s="62">
        <f t="shared" ref="F50:F55" si="2">0.001*D50*E50</f>
        <v>0</v>
      </c>
      <c r="G50" s="14"/>
      <c r="H50" s="13" t="s">
        <v>10</v>
      </c>
      <c r="I50" s="19"/>
      <c r="J50" s="37"/>
    </row>
    <row r="51" spans="1:10" s="10" customFormat="1" ht="16.5" hidden="1" customHeight="1">
      <c r="A51" s="39" t="s">
        <v>11</v>
      </c>
      <c r="B51" s="23" t="s">
        <v>17</v>
      </c>
      <c r="C51" s="23" t="s">
        <v>18</v>
      </c>
      <c r="D51" s="61"/>
      <c r="E51" s="62">
        <v>5</v>
      </c>
      <c r="F51" s="62">
        <f t="shared" si="2"/>
        <v>0</v>
      </c>
      <c r="G51" s="14"/>
      <c r="H51" s="13" t="s">
        <v>139</v>
      </c>
      <c r="I51" s="19"/>
      <c r="J51" s="37"/>
    </row>
    <row r="52" spans="1:10" s="10" customFormat="1" ht="16.5" hidden="1" customHeight="1">
      <c r="A52" s="19" t="s">
        <v>13</v>
      </c>
      <c r="B52" s="41" t="s">
        <v>140</v>
      </c>
      <c r="C52" s="40" t="s">
        <v>15</v>
      </c>
      <c r="D52" s="61"/>
      <c r="E52" s="62">
        <v>6201</v>
      </c>
      <c r="F52" s="62">
        <f t="shared" si="2"/>
        <v>0</v>
      </c>
      <c r="G52" s="14"/>
      <c r="H52" s="13" t="s">
        <v>10</v>
      </c>
      <c r="I52" s="19"/>
      <c r="J52" s="37"/>
    </row>
    <row r="53" spans="1:10" s="10" customFormat="1" ht="16.5" hidden="1" customHeight="1">
      <c r="A53" s="19" t="s">
        <v>16</v>
      </c>
      <c r="B53" s="41" t="s">
        <v>24</v>
      </c>
      <c r="C53" s="41" t="s">
        <v>27</v>
      </c>
      <c r="D53" s="67"/>
      <c r="E53" s="62">
        <v>15</v>
      </c>
      <c r="F53" s="62">
        <f t="shared" si="2"/>
        <v>0</v>
      </c>
      <c r="G53" s="14"/>
      <c r="H53" s="13" t="s">
        <v>139</v>
      </c>
      <c r="I53" s="19"/>
      <c r="J53" s="37"/>
    </row>
    <row r="54" spans="1:10" s="10" customFormat="1" ht="16.5" hidden="1" customHeight="1">
      <c r="A54" s="19" t="s">
        <v>19</v>
      </c>
      <c r="B54" s="41" t="s">
        <v>141</v>
      </c>
      <c r="C54" s="41" t="s">
        <v>27</v>
      </c>
      <c r="D54" s="67"/>
      <c r="E54" s="62">
        <v>40</v>
      </c>
      <c r="F54" s="62">
        <f t="shared" si="2"/>
        <v>0</v>
      </c>
      <c r="G54" s="14"/>
      <c r="H54" s="13" t="s">
        <v>139</v>
      </c>
      <c r="I54" s="19"/>
      <c r="J54" s="37"/>
    </row>
    <row r="55" spans="1:10" s="10" customFormat="1" ht="16.5" hidden="1" customHeight="1">
      <c r="A55" s="26" t="s">
        <v>21</v>
      </c>
      <c r="B55" s="27" t="s">
        <v>20</v>
      </c>
      <c r="C55" s="27"/>
      <c r="D55" s="63"/>
      <c r="E55" s="64"/>
      <c r="F55" s="64">
        <f t="shared" si="2"/>
        <v>0</v>
      </c>
      <c r="G55" s="29"/>
      <c r="H55" s="28"/>
      <c r="I55" s="19"/>
      <c r="J55" s="37"/>
    </row>
    <row r="56" spans="1:10" s="10" customFormat="1" ht="16.5" hidden="1" customHeight="1">
      <c r="A56" s="19" t="s">
        <v>35</v>
      </c>
      <c r="B56" s="21" t="s">
        <v>142</v>
      </c>
      <c r="C56" s="21"/>
      <c r="D56" s="61"/>
      <c r="E56" s="62"/>
      <c r="F56" s="62">
        <f>SUM(F50:F55)</f>
        <v>0</v>
      </c>
      <c r="G56" s="14"/>
      <c r="H56" s="13"/>
      <c r="I56" s="19"/>
      <c r="J56" s="37"/>
    </row>
    <row r="57" spans="1:10" s="10" customFormat="1" ht="16.5" hidden="1" customHeight="1">
      <c r="A57" s="19"/>
      <c r="B57" s="13"/>
      <c r="C57" s="13"/>
      <c r="D57" s="61"/>
      <c r="E57" s="62"/>
      <c r="F57" s="62"/>
      <c r="G57" s="14"/>
      <c r="H57" s="13"/>
      <c r="I57" s="19"/>
      <c r="J57" s="37"/>
    </row>
    <row r="58" spans="1:10" s="10" customFormat="1" hidden="1">
      <c r="A58" s="12">
        <v>5</v>
      </c>
      <c r="B58" s="7" t="s">
        <v>143</v>
      </c>
      <c r="C58" s="7"/>
      <c r="D58" s="61"/>
      <c r="E58" s="62"/>
      <c r="F58" s="62"/>
      <c r="G58" s="14"/>
      <c r="H58" s="13"/>
      <c r="I58" s="19"/>
      <c r="J58" s="37"/>
    </row>
    <row r="59" spans="1:10" s="10" customFormat="1" ht="16.5" hidden="1" customHeight="1">
      <c r="A59" s="39" t="s">
        <v>8</v>
      </c>
      <c r="B59" s="40" t="s">
        <v>138</v>
      </c>
      <c r="C59" s="40"/>
      <c r="D59" s="61"/>
      <c r="E59" s="62">
        <v>1000</v>
      </c>
      <c r="F59" s="62">
        <f t="shared" ref="F59:F64" si="3">0.001*D59*E59</f>
        <v>0</v>
      </c>
      <c r="G59" s="14"/>
      <c r="H59" s="13" t="s">
        <v>10</v>
      </c>
      <c r="I59" s="19"/>
      <c r="J59" s="37"/>
    </row>
    <row r="60" spans="1:10" s="10" customFormat="1" ht="16.5" hidden="1" customHeight="1">
      <c r="A60" s="39" t="s">
        <v>11</v>
      </c>
      <c r="B60" s="23" t="s">
        <v>17</v>
      </c>
      <c r="C60" s="23" t="s">
        <v>18</v>
      </c>
      <c r="D60" s="61"/>
      <c r="E60" s="62">
        <v>5</v>
      </c>
      <c r="F60" s="62">
        <f t="shared" si="3"/>
        <v>0</v>
      </c>
      <c r="G60" s="14"/>
      <c r="H60" s="13" t="s">
        <v>139</v>
      </c>
      <c r="I60" s="19"/>
      <c r="J60" s="37"/>
    </row>
    <row r="61" spans="1:10" s="10" customFormat="1" ht="16.5" hidden="1" customHeight="1">
      <c r="A61" s="19" t="s">
        <v>13</v>
      </c>
      <c r="B61" s="41" t="s">
        <v>140</v>
      </c>
      <c r="C61" s="40" t="s">
        <v>15</v>
      </c>
      <c r="D61" s="61"/>
      <c r="E61" s="62">
        <v>6201</v>
      </c>
      <c r="F61" s="62">
        <f t="shared" si="3"/>
        <v>0</v>
      </c>
      <c r="G61" s="14"/>
      <c r="H61" s="13" t="s">
        <v>10</v>
      </c>
      <c r="I61" s="19"/>
      <c r="J61" s="37"/>
    </row>
    <row r="62" spans="1:10" s="10" customFormat="1" ht="16.5" hidden="1" customHeight="1">
      <c r="A62" s="19" t="s">
        <v>16</v>
      </c>
      <c r="B62" s="41" t="s">
        <v>24</v>
      </c>
      <c r="C62" s="41" t="s">
        <v>27</v>
      </c>
      <c r="D62" s="67"/>
      <c r="E62" s="62">
        <v>15</v>
      </c>
      <c r="F62" s="62">
        <f t="shared" si="3"/>
        <v>0</v>
      </c>
      <c r="G62" s="14"/>
      <c r="H62" s="13" t="s">
        <v>139</v>
      </c>
      <c r="I62" s="19"/>
      <c r="J62" s="37"/>
    </row>
    <row r="63" spans="1:10" s="10" customFormat="1" hidden="1">
      <c r="A63" s="19" t="s">
        <v>19</v>
      </c>
      <c r="B63" s="41" t="s">
        <v>141</v>
      </c>
      <c r="C63" s="41" t="s">
        <v>27</v>
      </c>
      <c r="D63" s="67"/>
      <c r="E63" s="62">
        <v>40</v>
      </c>
      <c r="F63" s="62">
        <f t="shared" si="3"/>
        <v>0</v>
      </c>
      <c r="G63" s="14"/>
      <c r="H63" s="13" t="s">
        <v>139</v>
      </c>
      <c r="I63" s="19"/>
      <c r="J63" s="37"/>
    </row>
    <row r="64" spans="1:10" s="10" customFormat="1" ht="16.5" hidden="1" customHeight="1">
      <c r="A64" s="26" t="s">
        <v>21</v>
      </c>
      <c r="B64" s="27" t="s">
        <v>20</v>
      </c>
      <c r="C64" s="27"/>
      <c r="D64" s="63"/>
      <c r="E64" s="64"/>
      <c r="F64" s="64">
        <f t="shared" si="3"/>
        <v>0</v>
      </c>
      <c r="G64" s="29"/>
      <c r="H64" s="28"/>
      <c r="I64" s="19"/>
      <c r="J64" s="37"/>
    </row>
    <row r="65" spans="1:10" s="10" customFormat="1" ht="16.5" hidden="1" customHeight="1">
      <c r="A65" s="19" t="s">
        <v>35</v>
      </c>
      <c r="B65" s="21" t="s">
        <v>144</v>
      </c>
      <c r="C65" s="21"/>
      <c r="D65" s="61"/>
      <c r="E65" s="62"/>
      <c r="F65" s="62">
        <f>SUM(F59:F64)</f>
        <v>0</v>
      </c>
      <c r="G65" s="14"/>
      <c r="H65" s="13"/>
      <c r="I65" s="19"/>
      <c r="J65" s="37"/>
    </row>
    <row r="66" spans="1:10" s="10" customFormat="1" ht="16.5" hidden="1" customHeight="1">
      <c r="A66" s="19"/>
      <c r="B66" s="13"/>
      <c r="C66" s="13"/>
      <c r="D66" s="61"/>
      <c r="E66" s="62"/>
      <c r="F66" s="62"/>
      <c r="G66" s="14"/>
      <c r="H66" s="13"/>
      <c r="I66" s="19"/>
      <c r="J66" s="37"/>
    </row>
    <row r="67" spans="1:10" s="10" customFormat="1" ht="16.5" hidden="1" customHeight="1">
      <c r="A67" s="12">
        <v>7</v>
      </c>
      <c r="B67" s="7" t="s">
        <v>145</v>
      </c>
      <c r="C67" s="7"/>
      <c r="D67" s="61"/>
      <c r="E67" s="62"/>
      <c r="F67" s="62"/>
      <c r="G67" s="14"/>
      <c r="H67" s="13"/>
      <c r="I67" s="19"/>
      <c r="J67" s="37"/>
    </row>
    <row r="68" spans="1:10" s="10" customFormat="1" ht="16.5" hidden="1" customHeight="1">
      <c r="A68" s="19" t="s">
        <v>8</v>
      </c>
      <c r="B68" s="41" t="s">
        <v>140</v>
      </c>
      <c r="C68" s="41" t="s">
        <v>15</v>
      </c>
      <c r="D68" s="61"/>
      <c r="E68" s="62">
        <v>6200</v>
      </c>
      <c r="F68" s="62">
        <f>0.001*D68*E68</f>
        <v>0</v>
      </c>
      <c r="G68" s="14"/>
      <c r="H68" s="13" t="s">
        <v>10</v>
      </c>
      <c r="I68" s="19"/>
      <c r="J68" s="37"/>
    </row>
    <row r="69" spans="1:10" s="10" customFormat="1" ht="16.5" hidden="1" customHeight="1">
      <c r="A69" s="19" t="s">
        <v>11</v>
      </c>
      <c r="B69" s="40" t="s">
        <v>24</v>
      </c>
      <c r="C69" s="40" t="s">
        <v>27</v>
      </c>
      <c r="D69" s="67"/>
      <c r="E69" s="62">
        <v>20</v>
      </c>
      <c r="F69" s="62">
        <f>0.001*D69*E69</f>
        <v>0</v>
      </c>
      <c r="G69" s="14"/>
      <c r="H69" s="13" t="s">
        <v>146</v>
      </c>
      <c r="I69" s="19"/>
      <c r="J69" s="37"/>
    </row>
    <row r="70" spans="1:10" s="10" customFormat="1" hidden="1">
      <c r="A70" s="19" t="s">
        <v>13</v>
      </c>
      <c r="B70" s="20" t="s">
        <v>147</v>
      </c>
      <c r="C70" s="20" t="s">
        <v>27</v>
      </c>
      <c r="D70" s="67"/>
      <c r="E70" s="62">
        <v>40</v>
      </c>
      <c r="F70" s="62">
        <f>0.001*D70*E70</f>
        <v>0</v>
      </c>
      <c r="G70" s="14"/>
      <c r="H70" s="13" t="s">
        <v>146</v>
      </c>
      <c r="I70" s="19"/>
      <c r="J70" s="37"/>
    </row>
    <row r="71" spans="1:10" s="10" customFormat="1" ht="16.5" hidden="1" customHeight="1">
      <c r="A71" s="19" t="s">
        <v>16</v>
      </c>
      <c r="B71" s="20" t="s">
        <v>57</v>
      </c>
      <c r="C71" s="20" t="s">
        <v>27</v>
      </c>
      <c r="D71" s="61"/>
      <c r="E71" s="62">
        <v>450</v>
      </c>
      <c r="F71" s="62">
        <f>0.001*D71*E71</f>
        <v>0</v>
      </c>
      <c r="G71" s="14"/>
      <c r="H71" s="13" t="s">
        <v>10</v>
      </c>
      <c r="I71" s="19"/>
      <c r="J71" s="37"/>
    </row>
    <row r="72" spans="1:10" s="10" customFormat="1" ht="16.5" hidden="1" customHeight="1">
      <c r="A72" s="26" t="s">
        <v>16</v>
      </c>
      <c r="B72" s="27" t="s">
        <v>20</v>
      </c>
      <c r="C72" s="27"/>
      <c r="D72" s="63"/>
      <c r="E72" s="64"/>
      <c r="F72" s="64">
        <f>0.001*D72*E72</f>
        <v>0</v>
      </c>
      <c r="G72" s="29"/>
      <c r="H72" s="28"/>
      <c r="I72" s="19"/>
      <c r="J72" s="37"/>
    </row>
    <row r="73" spans="1:10" s="10" customFormat="1" ht="16.5" hidden="1" customHeight="1">
      <c r="A73" s="19" t="s">
        <v>19</v>
      </c>
      <c r="B73" s="39" t="s">
        <v>148</v>
      </c>
      <c r="C73" s="19"/>
      <c r="D73" s="61"/>
      <c r="E73" s="62"/>
      <c r="F73" s="62">
        <f>SUM(F68:F72)</f>
        <v>0</v>
      </c>
      <c r="G73" s="14"/>
      <c r="H73" s="13"/>
      <c r="I73" s="19"/>
      <c r="J73" s="37"/>
    </row>
    <row r="74" spans="1:10" s="10" customFormat="1" ht="16.5" customHeight="1">
      <c r="A74" s="19"/>
      <c r="B74" s="13"/>
      <c r="C74" s="13"/>
      <c r="D74" s="61"/>
      <c r="E74" s="62"/>
      <c r="F74" s="62"/>
      <c r="G74" s="14"/>
      <c r="H74" s="13"/>
      <c r="I74" s="19"/>
      <c r="J74" s="37"/>
    </row>
    <row r="75" spans="1:10" s="10" customFormat="1" ht="16.5" customHeight="1">
      <c r="A75" s="12">
        <v>8</v>
      </c>
      <c r="B75" s="7" t="s">
        <v>58</v>
      </c>
      <c r="C75" s="7"/>
      <c r="D75" s="61"/>
      <c r="E75" s="62"/>
      <c r="F75" s="62"/>
      <c r="G75" s="14"/>
      <c r="H75" s="13"/>
      <c r="I75" s="19"/>
      <c r="J75" s="37"/>
    </row>
    <row r="76" spans="1:10" s="10" customFormat="1" ht="16.5" customHeight="1">
      <c r="A76" s="19" t="s">
        <v>8</v>
      </c>
      <c r="B76" s="23" t="s">
        <v>163</v>
      </c>
      <c r="C76" s="20"/>
      <c r="D76" s="61">
        <v>1</v>
      </c>
      <c r="E76" s="239">
        <v>40000</v>
      </c>
      <c r="F76" s="239">
        <f t="shared" ref="F76:F81" si="4">0.001*D76*E76</f>
        <v>40</v>
      </c>
      <c r="G76" s="240"/>
      <c r="H76" s="142" t="s">
        <v>396</v>
      </c>
      <c r="I76" s="19"/>
      <c r="J76" s="37"/>
    </row>
    <row r="77" spans="1:10" s="10" customFormat="1" ht="16.5" customHeight="1">
      <c r="A77" s="19" t="s">
        <v>11</v>
      </c>
      <c r="B77" s="20" t="s">
        <v>59</v>
      </c>
      <c r="C77" s="20"/>
      <c r="D77" s="191">
        <v>0</v>
      </c>
      <c r="E77" s="239">
        <v>20000</v>
      </c>
      <c r="F77" s="239">
        <f t="shared" si="4"/>
        <v>0</v>
      </c>
      <c r="G77" s="240"/>
      <c r="H77" s="142" t="s">
        <v>245</v>
      </c>
      <c r="I77" s="19"/>
      <c r="J77" s="37"/>
    </row>
    <row r="78" spans="1:10" s="10" customFormat="1" ht="16.5" customHeight="1">
      <c r="A78" s="19" t="s">
        <v>13</v>
      </c>
      <c r="B78" s="20" t="s">
        <v>60</v>
      </c>
      <c r="C78" s="20"/>
      <c r="D78" s="61">
        <v>0</v>
      </c>
      <c r="E78" s="62">
        <v>5000</v>
      </c>
      <c r="F78" s="62">
        <f t="shared" si="4"/>
        <v>0</v>
      </c>
      <c r="G78" s="14"/>
      <c r="H78" s="142" t="s">
        <v>378</v>
      </c>
      <c r="I78" s="19"/>
      <c r="J78" s="37"/>
    </row>
    <row r="79" spans="1:10" s="10" customFormat="1" ht="16.5" customHeight="1">
      <c r="A79" s="39" t="s">
        <v>16</v>
      </c>
      <c r="B79" s="23" t="s">
        <v>61</v>
      </c>
      <c r="C79" s="23" t="s">
        <v>15</v>
      </c>
      <c r="D79" s="191">
        <v>3</v>
      </c>
      <c r="E79" s="239">
        <v>60000</v>
      </c>
      <c r="F79" s="239">
        <f t="shared" si="4"/>
        <v>180</v>
      </c>
      <c r="G79" s="240"/>
      <c r="H79" s="142" t="s">
        <v>399</v>
      </c>
      <c r="I79" s="19"/>
      <c r="J79" s="37"/>
    </row>
    <row r="80" spans="1:10" s="10" customFormat="1" ht="16.5" customHeight="1">
      <c r="A80" s="39" t="s">
        <v>19</v>
      </c>
      <c r="B80" s="20" t="s">
        <v>62</v>
      </c>
      <c r="C80" s="20"/>
      <c r="D80" s="61">
        <v>1</v>
      </c>
      <c r="E80" s="62">
        <v>20000</v>
      </c>
      <c r="F80" s="62">
        <f t="shared" si="4"/>
        <v>20</v>
      </c>
      <c r="G80" s="14"/>
      <c r="H80" s="13" t="s">
        <v>10</v>
      </c>
      <c r="I80" s="19"/>
      <c r="J80" s="37"/>
    </row>
    <row r="81" spans="1:10" s="10" customFormat="1" ht="16.5" customHeight="1">
      <c r="A81" s="42" t="s">
        <v>21</v>
      </c>
      <c r="B81" s="27" t="s">
        <v>149</v>
      </c>
      <c r="C81" s="27"/>
      <c r="D81" s="63">
        <v>1</v>
      </c>
      <c r="E81" s="64">
        <v>7500</v>
      </c>
      <c r="F81" s="64">
        <f t="shared" si="4"/>
        <v>7.5</v>
      </c>
      <c r="G81" s="29"/>
      <c r="H81" s="28" t="s">
        <v>10</v>
      </c>
      <c r="I81" s="19"/>
      <c r="J81" s="37"/>
    </row>
    <row r="82" spans="1:10" s="10" customFormat="1" ht="16.5" customHeight="1">
      <c r="A82" s="39" t="s">
        <v>35</v>
      </c>
      <c r="B82" s="39" t="s">
        <v>63</v>
      </c>
      <c r="C82" s="13"/>
      <c r="D82" s="61"/>
      <c r="E82" s="62"/>
      <c r="F82" s="62">
        <f>SUM(F76:F81)</f>
        <v>247.5</v>
      </c>
      <c r="G82" s="14"/>
      <c r="H82" s="13"/>
      <c r="I82" s="19"/>
      <c r="J82" s="37"/>
    </row>
    <row r="83" spans="1:10" s="10" customFormat="1" ht="16.5" customHeight="1">
      <c r="A83" s="19"/>
      <c r="B83" s="13"/>
      <c r="C83" s="13"/>
      <c r="D83" s="61"/>
      <c r="E83" s="62"/>
      <c r="F83" s="62"/>
      <c r="G83" s="14"/>
      <c r="H83" s="13"/>
      <c r="I83" s="19"/>
      <c r="J83" s="37"/>
    </row>
    <row r="84" spans="1:10" s="10" customFormat="1" ht="16.5" customHeight="1">
      <c r="A84" s="12">
        <v>9</v>
      </c>
      <c r="B84" s="7" t="s">
        <v>247</v>
      </c>
      <c r="C84" s="7"/>
      <c r="D84" s="61"/>
      <c r="E84" s="62"/>
      <c r="F84" s="62"/>
      <c r="G84" s="14"/>
      <c r="H84" s="13"/>
      <c r="I84" s="19"/>
      <c r="J84" s="37"/>
    </row>
    <row r="85" spans="1:10" s="10" customFormat="1" ht="16.5" customHeight="1">
      <c r="A85" s="19" t="s">
        <v>8</v>
      </c>
      <c r="B85" s="172" t="s">
        <v>248</v>
      </c>
      <c r="C85" s="41" t="s">
        <v>64</v>
      </c>
      <c r="D85" s="191">
        <v>3</v>
      </c>
      <c r="E85" s="239">
        <v>50000</v>
      </c>
      <c r="F85" s="239">
        <f t="shared" ref="F85:F90" si="5">0.001*D85*E85</f>
        <v>150</v>
      </c>
      <c r="G85" s="240"/>
      <c r="H85" s="142" t="s">
        <v>10</v>
      </c>
      <c r="I85" s="19"/>
      <c r="J85" s="37"/>
    </row>
    <row r="86" spans="1:10" s="10" customFormat="1" ht="16.5" customHeight="1">
      <c r="A86" s="19" t="s">
        <v>11</v>
      </c>
      <c r="B86" s="41" t="s">
        <v>65</v>
      </c>
      <c r="C86" s="41" t="s">
        <v>64</v>
      </c>
      <c r="D86" s="191">
        <v>2</v>
      </c>
      <c r="E86" s="239">
        <v>75000</v>
      </c>
      <c r="F86" s="239">
        <f t="shared" si="5"/>
        <v>150</v>
      </c>
      <c r="G86" s="240"/>
      <c r="H86" s="142" t="s">
        <v>287</v>
      </c>
      <c r="I86" s="19"/>
      <c r="J86" s="37"/>
    </row>
    <row r="87" spans="1:10" s="10" customFormat="1" ht="16.5" customHeight="1">
      <c r="A87" s="19" t="s">
        <v>13</v>
      </c>
      <c r="B87" s="172" t="s">
        <v>249</v>
      </c>
      <c r="C87" s="41"/>
      <c r="D87" s="191">
        <v>1</v>
      </c>
      <c r="E87" s="239">
        <v>50000</v>
      </c>
      <c r="F87" s="239">
        <f t="shared" si="5"/>
        <v>50</v>
      </c>
      <c r="G87" s="240"/>
      <c r="H87" s="142" t="s">
        <v>10</v>
      </c>
      <c r="I87" s="19"/>
      <c r="J87" s="37"/>
    </row>
    <row r="88" spans="1:10" s="10" customFormat="1">
      <c r="A88" s="19" t="s">
        <v>16</v>
      </c>
      <c r="B88" s="172" t="s">
        <v>250</v>
      </c>
      <c r="C88" s="41"/>
      <c r="D88" s="191">
        <v>1</v>
      </c>
      <c r="E88" s="239">
        <v>25000</v>
      </c>
      <c r="F88" s="239">
        <f t="shared" si="5"/>
        <v>25</v>
      </c>
      <c r="G88" s="240"/>
      <c r="H88" s="142" t="s">
        <v>10</v>
      </c>
      <c r="I88" s="19"/>
      <c r="J88" s="37"/>
    </row>
    <row r="89" spans="1:10" s="10" customFormat="1" ht="16.5" customHeight="1">
      <c r="A89" s="19" t="s">
        <v>19</v>
      </c>
      <c r="B89" s="41" t="s">
        <v>66</v>
      </c>
      <c r="C89" s="41"/>
      <c r="D89" s="191">
        <v>1</v>
      </c>
      <c r="E89" s="239">
        <v>25000</v>
      </c>
      <c r="F89" s="239">
        <f t="shared" si="5"/>
        <v>25</v>
      </c>
      <c r="G89" s="240"/>
      <c r="H89" s="142" t="s">
        <v>10</v>
      </c>
      <c r="I89" s="19"/>
      <c r="J89" s="37"/>
    </row>
    <row r="90" spans="1:10" s="10" customFormat="1" ht="16.5" customHeight="1">
      <c r="A90" s="26" t="s">
        <v>21</v>
      </c>
      <c r="B90" s="192" t="s">
        <v>251</v>
      </c>
      <c r="C90" s="27"/>
      <c r="D90" s="184">
        <v>1</v>
      </c>
      <c r="E90" s="242">
        <v>50000</v>
      </c>
      <c r="F90" s="242">
        <f t="shared" si="5"/>
        <v>50</v>
      </c>
      <c r="G90" s="243"/>
      <c r="H90" s="238" t="s">
        <v>273</v>
      </c>
      <c r="I90" s="19"/>
      <c r="J90" s="37"/>
    </row>
    <row r="91" spans="1:10" s="10" customFormat="1" ht="16.5" customHeight="1">
      <c r="A91" s="19" t="s">
        <v>35</v>
      </c>
      <c r="B91" s="185" t="s">
        <v>322</v>
      </c>
      <c r="C91" s="21"/>
      <c r="D91" s="61"/>
      <c r="E91" s="62"/>
      <c r="F91" s="62">
        <f>SUM(F85:F90)</f>
        <v>450</v>
      </c>
      <c r="G91" s="14"/>
      <c r="H91" s="13"/>
      <c r="I91" s="19"/>
      <c r="J91" s="37"/>
    </row>
    <row r="92" spans="1:10" s="10" customFormat="1" ht="16.5" customHeight="1">
      <c r="A92" s="19"/>
      <c r="B92" s="13"/>
      <c r="C92" s="13"/>
      <c r="D92" s="61"/>
      <c r="E92" s="62"/>
      <c r="F92" s="62"/>
      <c r="G92" s="14"/>
      <c r="H92" s="13"/>
      <c r="I92" s="19"/>
      <c r="J92" s="37"/>
    </row>
    <row r="93" spans="1:10" s="10" customFormat="1" ht="16.5" customHeight="1">
      <c r="A93" s="12">
        <v>10</v>
      </c>
      <c r="B93" s="7" t="s">
        <v>67</v>
      </c>
      <c r="C93" s="7"/>
      <c r="D93" s="61"/>
      <c r="E93" s="62"/>
      <c r="F93" s="62"/>
      <c r="G93" s="14"/>
      <c r="H93" s="13"/>
      <c r="I93" s="19"/>
      <c r="J93" s="37"/>
    </row>
    <row r="94" spans="1:10" s="10" customFormat="1" ht="16.5" customHeight="1">
      <c r="A94" s="19" t="s">
        <v>8</v>
      </c>
      <c r="B94" s="41" t="s">
        <v>68</v>
      </c>
      <c r="C94" s="41"/>
      <c r="D94" s="69">
        <v>1</v>
      </c>
      <c r="E94" s="66">
        <v>5000</v>
      </c>
      <c r="F94" s="62">
        <f>0.001*D94*E94</f>
        <v>5</v>
      </c>
      <c r="G94" s="14"/>
      <c r="H94" s="13" t="s">
        <v>10</v>
      </c>
      <c r="I94" s="19"/>
      <c r="J94" s="37"/>
    </row>
    <row r="95" spans="1:10" s="10" customFormat="1">
      <c r="A95" s="19" t="s">
        <v>11</v>
      </c>
      <c r="B95" s="41" t="s">
        <v>69</v>
      </c>
      <c r="C95" s="41"/>
      <c r="D95" s="246">
        <v>1</v>
      </c>
      <c r="E95" s="247">
        <v>20000</v>
      </c>
      <c r="F95" s="239">
        <f>0.001*D95*E95</f>
        <v>20</v>
      </c>
      <c r="G95" s="240"/>
      <c r="H95" s="176" t="s">
        <v>290</v>
      </c>
      <c r="I95" s="19"/>
      <c r="J95" s="37"/>
    </row>
    <row r="96" spans="1:10" s="10" customFormat="1" ht="16.5" customHeight="1">
      <c r="A96" s="19" t="s">
        <v>13</v>
      </c>
      <c r="B96" s="41" t="s">
        <v>70</v>
      </c>
      <c r="C96" s="41"/>
      <c r="D96" s="69">
        <v>1</v>
      </c>
      <c r="E96" s="66">
        <v>5000</v>
      </c>
      <c r="F96" s="62">
        <f>0.001*D96*E96</f>
        <v>5</v>
      </c>
      <c r="G96" s="14"/>
      <c r="H96" s="13" t="s">
        <v>10</v>
      </c>
      <c r="I96" s="19"/>
      <c r="J96" s="37"/>
    </row>
    <row r="97" spans="1:10" s="10" customFormat="1" ht="15.75" customHeight="1">
      <c r="A97" s="19" t="s">
        <v>16</v>
      </c>
      <c r="B97" s="41" t="s">
        <v>71</v>
      </c>
      <c r="C97" s="41"/>
      <c r="D97" s="69">
        <v>1</v>
      </c>
      <c r="E97" s="66">
        <v>10000</v>
      </c>
      <c r="F97" s="62">
        <f>0.001*D97*E97</f>
        <v>10</v>
      </c>
      <c r="G97" s="14"/>
      <c r="H97" s="13" t="s">
        <v>10</v>
      </c>
      <c r="I97" s="19"/>
      <c r="J97" s="37"/>
    </row>
    <row r="98" spans="1:10" s="10" customFormat="1" ht="16.5" customHeight="1">
      <c r="A98" s="26" t="s">
        <v>19</v>
      </c>
      <c r="B98" s="27" t="s">
        <v>20</v>
      </c>
      <c r="C98" s="27"/>
      <c r="D98" s="63"/>
      <c r="E98" s="64"/>
      <c r="F98" s="64">
        <f>0.001*D98*E98</f>
        <v>0</v>
      </c>
      <c r="G98" s="29"/>
      <c r="H98" s="28"/>
      <c r="I98" s="19"/>
      <c r="J98" s="37"/>
    </row>
    <row r="99" spans="1:10" s="10" customFormat="1" ht="16.5" customHeight="1">
      <c r="A99" s="19" t="s">
        <v>21</v>
      </c>
      <c r="B99" s="39" t="s">
        <v>72</v>
      </c>
      <c r="C99" s="39"/>
      <c r="D99" s="61"/>
      <c r="E99" s="62"/>
      <c r="F99" s="62">
        <f>SUM(F94:F98)</f>
        <v>40</v>
      </c>
      <c r="G99" s="14"/>
      <c r="H99" s="13"/>
      <c r="I99" s="19"/>
      <c r="J99" s="37"/>
    </row>
    <row r="100" spans="1:10" s="10" customFormat="1" ht="16.5" customHeight="1">
      <c r="A100" s="13"/>
      <c r="B100" s="13"/>
      <c r="C100" s="13"/>
      <c r="D100" s="61"/>
      <c r="E100" s="62"/>
      <c r="F100" s="62"/>
      <c r="G100" s="14"/>
      <c r="H100" s="13"/>
      <c r="I100" s="19"/>
      <c r="J100" s="37"/>
    </row>
    <row r="101" spans="1:10" s="10" customFormat="1" ht="16.5" customHeight="1">
      <c r="A101" s="12">
        <v>11</v>
      </c>
      <c r="B101" s="7" t="s">
        <v>73</v>
      </c>
      <c r="C101" s="7"/>
      <c r="D101" s="61"/>
      <c r="E101" s="62"/>
      <c r="F101" s="62"/>
      <c r="G101" s="14"/>
      <c r="H101" s="13"/>
      <c r="I101" s="19"/>
      <c r="J101" s="37"/>
    </row>
    <row r="102" spans="1:10" s="10" customFormat="1" ht="16.5" customHeight="1">
      <c r="A102" s="19" t="s">
        <v>8</v>
      </c>
      <c r="B102" s="20" t="s">
        <v>14</v>
      </c>
      <c r="C102" s="20" t="s">
        <v>15</v>
      </c>
      <c r="D102" s="191">
        <v>1</v>
      </c>
      <c r="E102" s="239">
        <v>6200</v>
      </c>
      <c r="F102" s="239">
        <f>0.001*D102*E102</f>
        <v>6.2</v>
      </c>
      <c r="G102" s="240"/>
      <c r="H102" s="142" t="s">
        <v>10</v>
      </c>
      <c r="I102" s="19"/>
      <c r="J102" s="37"/>
    </row>
    <row r="103" spans="1:10" s="10" customFormat="1" ht="16.5" customHeight="1">
      <c r="A103" s="19" t="s">
        <v>11</v>
      </c>
      <c r="B103" s="20" t="s">
        <v>74</v>
      </c>
      <c r="C103" s="20"/>
      <c r="D103" s="191">
        <v>1</v>
      </c>
      <c r="E103" s="239">
        <f>'Interconnect Costs'!K6</f>
        <v>52000</v>
      </c>
      <c r="F103" s="239">
        <f>0.001*D103*E103</f>
        <v>52</v>
      </c>
      <c r="G103" s="240"/>
      <c r="H103" s="142" t="s">
        <v>274</v>
      </c>
      <c r="I103" s="19"/>
      <c r="J103" s="37"/>
    </row>
    <row r="104" spans="1:10" s="10" customFormat="1" ht="16.5" customHeight="1">
      <c r="A104" s="19" t="s">
        <v>13</v>
      </c>
      <c r="B104" s="20" t="s">
        <v>75</v>
      </c>
      <c r="C104" s="20"/>
      <c r="D104" s="191">
        <v>1</v>
      </c>
      <c r="E104" s="239">
        <v>10000</v>
      </c>
      <c r="F104" s="239">
        <f>0.001*D104*E104</f>
        <v>10</v>
      </c>
      <c r="G104" s="240"/>
      <c r="H104" s="142" t="s">
        <v>10</v>
      </c>
      <c r="I104" s="19"/>
      <c r="J104" s="37"/>
    </row>
    <row r="105" spans="1:10" s="10" customFormat="1" ht="32.25" customHeight="1">
      <c r="A105" s="19" t="s">
        <v>13</v>
      </c>
      <c r="B105" s="20" t="s">
        <v>76</v>
      </c>
      <c r="C105" s="20"/>
      <c r="D105" s="191">
        <v>1</v>
      </c>
      <c r="E105" s="239">
        <f>'Interconnect Costs'!K7+'Interconnect Costs'!K8+'Interconnect Costs'!K9</f>
        <v>50000</v>
      </c>
      <c r="F105" s="239">
        <f>0.001*D105*E105</f>
        <v>50</v>
      </c>
      <c r="G105" s="240"/>
      <c r="H105" s="142" t="s">
        <v>267</v>
      </c>
      <c r="I105" s="19"/>
      <c r="J105" s="37"/>
    </row>
    <row r="106" spans="1:10" s="10" customFormat="1" ht="16.5" customHeight="1">
      <c r="A106" s="26" t="s">
        <v>16</v>
      </c>
      <c r="B106" s="192" t="s">
        <v>248</v>
      </c>
      <c r="C106" s="27"/>
      <c r="D106" s="184">
        <v>1</v>
      </c>
      <c r="E106" s="242">
        <v>20000</v>
      </c>
      <c r="F106" s="242">
        <f>0.001*D106*E106</f>
        <v>20</v>
      </c>
      <c r="G106" s="243"/>
      <c r="H106" s="238" t="s">
        <v>10</v>
      </c>
      <c r="I106" s="19"/>
      <c r="J106" s="37"/>
    </row>
    <row r="107" spans="1:10" s="10" customFormat="1">
      <c r="A107" s="19" t="s">
        <v>21</v>
      </c>
      <c r="B107" s="19" t="s">
        <v>77</v>
      </c>
      <c r="C107" s="19"/>
      <c r="D107" s="191"/>
      <c r="E107" s="239"/>
      <c r="F107" s="239">
        <f>SUM(F102:F106)</f>
        <v>138.19999999999999</v>
      </c>
      <c r="G107" s="240"/>
      <c r="H107" s="142"/>
      <c r="I107" s="19"/>
      <c r="J107" s="37"/>
    </row>
    <row r="108" spans="1:10" ht="16.5" customHeight="1">
      <c r="A108" s="13"/>
      <c r="B108" s="13"/>
      <c r="C108" s="13"/>
      <c r="D108" s="61"/>
      <c r="E108" s="62"/>
      <c r="F108" s="62"/>
      <c r="G108" s="14"/>
      <c r="H108" s="13"/>
      <c r="I108" s="19"/>
      <c r="J108" s="37"/>
    </row>
    <row r="109" spans="1:10" ht="16.5" customHeight="1">
      <c r="A109" s="12">
        <v>12</v>
      </c>
      <c r="B109" s="7" t="s">
        <v>78</v>
      </c>
      <c r="C109" s="7"/>
      <c r="D109" s="61"/>
      <c r="E109" s="62"/>
      <c r="F109" s="62"/>
      <c r="G109" s="14"/>
      <c r="H109" s="13"/>
      <c r="I109" s="19"/>
      <c r="J109" s="37"/>
    </row>
    <row r="110" spans="1:10" ht="16.5" customHeight="1">
      <c r="A110" s="19" t="s">
        <v>8</v>
      </c>
      <c r="B110" s="20" t="s">
        <v>79</v>
      </c>
      <c r="C110" s="20"/>
      <c r="D110" s="61">
        <v>1</v>
      </c>
      <c r="E110" s="62">
        <f>F130*1000*0.08</f>
        <v>246665.76460559998</v>
      </c>
      <c r="F110" s="62">
        <f t="shared" ref="F110:F115" si="6">0.001*D110*E110</f>
        <v>246.66576460559997</v>
      </c>
      <c r="G110" s="14"/>
      <c r="H110" s="36" t="s">
        <v>164</v>
      </c>
      <c r="I110" s="19"/>
      <c r="J110" s="37"/>
    </row>
    <row r="111" spans="1:10">
      <c r="A111" s="19" t="s">
        <v>11</v>
      </c>
      <c r="B111" s="20" t="s">
        <v>80</v>
      </c>
      <c r="C111" s="20"/>
      <c r="D111" s="61">
        <v>1</v>
      </c>
      <c r="E111" s="62">
        <v>25000</v>
      </c>
      <c r="F111" s="62">
        <f t="shared" si="6"/>
        <v>25</v>
      </c>
      <c r="G111" s="14"/>
      <c r="H111" s="13" t="s">
        <v>10</v>
      </c>
      <c r="I111" s="19"/>
      <c r="J111" s="37"/>
    </row>
    <row r="112" spans="1:10" ht="16.5" customHeight="1">
      <c r="A112" s="19" t="s">
        <v>13</v>
      </c>
      <c r="B112" s="20" t="s">
        <v>81</v>
      </c>
      <c r="C112" s="20"/>
      <c r="D112" s="61">
        <v>1</v>
      </c>
      <c r="E112" s="62">
        <v>20000</v>
      </c>
      <c r="F112" s="62">
        <f t="shared" si="6"/>
        <v>20</v>
      </c>
      <c r="G112" s="14"/>
      <c r="H112" s="13" t="s">
        <v>82</v>
      </c>
      <c r="I112" s="19"/>
      <c r="J112" s="37"/>
    </row>
    <row r="113" spans="1:10" ht="16.5" customHeight="1">
      <c r="A113" s="19" t="s">
        <v>16</v>
      </c>
      <c r="B113" s="20" t="s">
        <v>83</v>
      </c>
      <c r="C113" s="20"/>
      <c r="D113" s="61">
        <v>1</v>
      </c>
      <c r="E113" s="62">
        <v>35000</v>
      </c>
      <c r="F113" s="62">
        <f t="shared" si="6"/>
        <v>35</v>
      </c>
      <c r="G113" s="14"/>
      <c r="H113" s="13" t="s">
        <v>91</v>
      </c>
      <c r="I113" s="19"/>
      <c r="J113" s="37"/>
    </row>
    <row r="114" spans="1:10">
      <c r="A114" s="19" t="s">
        <v>19</v>
      </c>
      <c r="B114" s="20" t="s">
        <v>84</v>
      </c>
      <c r="C114" s="20"/>
      <c r="D114" s="61">
        <v>1</v>
      </c>
      <c r="E114" s="62">
        <v>100000</v>
      </c>
      <c r="F114" s="62">
        <f t="shared" si="6"/>
        <v>100</v>
      </c>
      <c r="G114" s="14"/>
      <c r="H114" s="13" t="s">
        <v>10</v>
      </c>
      <c r="I114" s="19"/>
      <c r="J114" s="37"/>
    </row>
    <row r="115" spans="1:10" ht="16.5" customHeight="1">
      <c r="A115" s="26" t="s">
        <v>21</v>
      </c>
      <c r="B115" s="27" t="s">
        <v>20</v>
      </c>
      <c r="C115" s="27"/>
      <c r="D115" s="63"/>
      <c r="E115" s="64"/>
      <c r="F115" s="64">
        <f t="shared" si="6"/>
        <v>0</v>
      </c>
      <c r="G115" s="29"/>
      <c r="H115" s="28"/>
      <c r="I115" s="19"/>
      <c r="J115" s="37"/>
    </row>
    <row r="116" spans="1:10" ht="16.5" customHeight="1">
      <c r="A116" s="19" t="s">
        <v>35</v>
      </c>
      <c r="B116" s="19" t="s">
        <v>85</v>
      </c>
      <c r="C116" s="19"/>
      <c r="D116" s="61"/>
      <c r="E116" s="62"/>
      <c r="F116" s="62">
        <f>SUM(F110:F115)</f>
        <v>426.66576460559997</v>
      </c>
      <c r="G116" s="14"/>
      <c r="H116" s="13"/>
      <c r="I116" s="19"/>
      <c r="J116" s="37"/>
    </row>
    <row r="117" spans="1:10" ht="16.5" customHeight="1">
      <c r="A117" s="13"/>
      <c r="B117" s="13"/>
      <c r="C117" s="13"/>
      <c r="D117" s="61"/>
      <c r="E117" s="62"/>
      <c r="F117" s="62"/>
      <c r="G117" s="14"/>
      <c r="H117" s="13"/>
      <c r="I117" s="19"/>
      <c r="J117" s="37"/>
    </row>
    <row r="118" spans="1:10" ht="16.5" customHeight="1">
      <c r="A118" s="12"/>
      <c r="B118" s="7" t="s">
        <v>86</v>
      </c>
      <c r="C118" s="7"/>
      <c r="D118" s="61"/>
      <c r="E118" s="62"/>
      <c r="F118" s="62"/>
      <c r="G118" s="14"/>
      <c r="H118" s="13"/>
      <c r="I118" s="19"/>
      <c r="J118" s="37"/>
    </row>
    <row r="119" spans="1:10" ht="16.5" customHeight="1">
      <c r="A119" s="12">
        <f>A$2</f>
        <v>1</v>
      </c>
      <c r="B119" s="13" t="str">
        <f>B$2</f>
        <v>General</v>
      </c>
      <c r="C119" s="13"/>
      <c r="D119" s="61"/>
      <c r="E119" s="62"/>
      <c r="F119" s="62">
        <f>F$8</f>
        <v>177</v>
      </c>
      <c r="G119" s="14"/>
      <c r="H119" s="13"/>
      <c r="I119" s="19"/>
      <c r="J119" s="37"/>
    </row>
    <row r="120" spans="1:10" ht="16.5" customHeight="1">
      <c r="A120" s="12">
        <f>A$10</f>
        <v>2</v>
      </c>
      <c r="B120" s="13" t="str">
        <f>B$10</f>
        <v>Powerhouse/Intake</v>
      </c>
      <c r="C120" s="13"/>
      <c r="D120" s="61"/>
      <c r="E120" s="62"/>
      <c r="F120" s="62">
        <f>F$30</f>
        <v>1412.6220575699999</v>
      </c>
      <c r="G120" s="14"/>
      <c r="H120" s="13"/>
      <c r="I120" s="19"/>
      <c r="J120" s="37"/>
    </row>
    <row r="121" spans="1:10" ht="16.5" customHeight="1">
      <c r="A121" s="12">
        <f>A$32</f>
        <v>3</v>
      </c>
      <c r="B121" s="13" t="str">
        <f>B$32</f>
        <v>Equipment</v>
      </c>
      <c r="C121" s="13"/>
      <c r="D121" s="61"/>
      <c r="E121" s="62"/>
      <c r="F121" s="62">
        <f>F$39</f>
        <v>618</v>
      </c>
      <c r="G121" s="14"/>
      <c r="H121" s="13"/>
      <c r="I121" s="19"/>
      <c r="J121" s="37"/>
    </row>
    <row r="122" spans="1:10" ht="16.5" hidden="1" customHeight="1">
      <c r="A122" s="43">
        <f>A$41</f>
        <v>4</v>
      </c>
      <c r="B122" s="11" t="str">
        <f>B$41</f>
        <v xml:space="preserve">Spillway </v>
      </c>
      <c r="E122" s="66"/>
      <c r="F122" s="66">
        <f>F$47</f>
        <v>0</v>
      </c>
      <c r="G122" s="44"/>
      <c r="I122" s="19"/>
      <c r="J122" s="37"/>
    </row>
    <row r="123" spans="1:10" ht="16.5" hidden="1" customHeight="1">
      <c r="A123" s="43">
        <f>A$49</f>
        <v>5</v>
      </c>
      <c r="B123" s="11" t="str">
        <f>B$49</f>
        <v>East (left) Dike</v>
      </c>
      <c r="E123" s="66"/>
      <c r="F123" s="66">
        <f>F$56</f>
        <v>0</v>
      </c>
      <c r="G123" s="33"/>
      <c r="I123" s="19"/>
      <c r="J123" s="37"/>
    </row>
    <row r="124" spans="1:10" ht="16.5" hidden="1" customHeight="1">
      <c r="A124" s="43">
        <f>A$58</f>
        <v>5</v>
      </c>
      <c r="B124" s="11" t="str">
        <f>B$58</f>
        <v>West (right) Dike</v>
      </c>
      <c r="E124" s="66"/>
      <c r="F124" s="66">
        <f>F$65</f>
        <v>0</v>
      </c>
      <c r="G124" s="33"/>
      <c r="I124" s="19"/>
      <c r="J124" s="37"/>
    </row>
    <row r="125" spans="1:10" ht="16.5" hidden="1" customHeight="1">
      <c r="A125" s="43">
        <f>A$67</f>
        <v>7</v>
      </c>
      <c r="B125" s="11" t="str">
        <f>B$67</f>
        <v>Canal</v>
      </c>
      <c r="E125" s="66"/>
      <c r="F125" s="66">
        <f>F$73</f>
        <v>0</v>
      </c>
      <c r="G125" s="33"/>
      <c r="I125" s="19"/>
      <c r="J125" s="37"/>
    </row>
    <row r="126" spans="1:10" ht="16.5" customHeight="1">
      <c r="A126" s="43">
        <f>A$75</f>
        <v>8</v>
      </c>
      <c r="B126" s="11" t="str">
        <f>B$75</f>
        <v>PM&amp;E Measures</v>
      </c>
      <c r="E126" s="66"/>
      <c r="F126" s="66">
        <f>F$82</f>
        <v>247.5</v>
      </c>
      <c r="G126" s="33"/>
      <c r="I126" s="19"/>
      <c r="J126" s="37"/>
    </row>
    <row r="127" spans="1:10" ht="16.5" customHeight="1">
      <c r="A127" s="43">
        <f>A$84</f>
        <v>9</v>
      </c>
      <c r="B127" s="176" t="s">
        <v>247</v>
      </c>
      <c r="E127" s="66"/>
      <c r="F127" s="66">
        <f>F$91</f>
        <v>450</v>
      </c>
      <c r="G127" s="33"/>
      <c r="I127" s="19"/>
      <c r="J127" s="37"/>
    </row>
    <row r="128" spans="1:10" ht="16.5" customHeight="1">
      <c r="A128" s="43">
        <f>A$93</f>
        <v>10</v>
      </c>
      <c r="B128" s="11" t="str">
        <f>B$93</f>
        <v>Land &amp; Land Rights</v>
      </c>
      <c r="E128" s="66"/>
      <c r="F128" s="66">
        <f>F$99</f>
        <v>40</v>
      </c>
      <c r="G128" s="33"/>
      <c r="I128" s="19"/>
      <c r="J128" s="37"/>
    </row>
    <row r="129" spans="1:10" ht="16.5" customHeight="1">
      <c r="A129" s="45">
        <f>A$101</f>
        <v>11</v>
      </c>
      <c r="B129" s="46" t="str">
        <f>B$101</f>
        <v>Interconnection</v>
      </c>
      <c r="C129" s="46"/>
      <c r="D129" s="70"/>
      <c r="E129" s="71"/>
      <c r="F129" s="71">
        <f>F$107</f>
        <v>138.19999999999999</v>
      </c>
      <c r="G129" s="47"/>
      <c r="H129" s="183"/>
      <c r="I129" s="19"/>
      <c r="J129" s="37"/>
    </row>
    <row r="130" spans="1:10" ht="16.5" customHeight="1">
      <c r="A130" s="43"/>
      <c r="B130" s="48" t="s">
        <v>87</v>
      </c>
      <c r="C130" s="48"/>
      <c r="E130" s="66"/>
      <c r="F130" s="66">
        <f>SUM(F119:F129)</f>
        <v>3083.3220575699997</v>
      </c>
      <c r="G130" s="33"/>
      <c r="I130" s="19"/>
      <c r="J130" s="37"/>
    </row>
    <row r="131" spans="1:10" ht="16.5" customHeight="1">
      <c r="A131" s="43"/>
      <c r="B131" s="48"/>
      <c r="C131" s="48"/>
      <c r="E131" s="66"/>
      <c r="F131" s="66"/>
      <c r="G131" s="33"/>
      <c r="I131" s="19"/>
      <c r="J131" s="37"/>
    </row>
    <row r="132" spans="1:10" ht="16.5" customHeight="1">
      <c r="A132" s="45">
        <f>A$109</f>
        <v>12</v>
      </c>
      <c r="B132" s="46" t="str">
        <f>B$109</f>
        <v>Indirect Costs</v>
      </c>
      <c r="C132" s="46"/>
      <c r="D132" s="70"/>
      <c r="E132" s="71"/>
      <c r="F132" s="71">
        <f>F$116</f>
        <v>426.66576460559997</v>
      </c>
      <c r="G132" s="47"/>
      <c r="H132" s="46"/>
      <c r="I132" s="19"/>
      <c r="J132" s="37"/>
    </row>
    <row r="133" spans="1:10" ht="16.5" customHeight="1">
      <c r="A133" s="43"/>
      <c r="B133" s="48" t="s">
        <v>88</v>
      </c>
      <c r="C133" s="48"/>
      <c r="E133" s="66"/>
      <c r="F133" s="72">
        <f>F$130+F$132</f>
        <v>3509.9878221755998</v>
      </c>
      <c r="G133" s="49"/>
      <c r="I133" s="19"/>
      <c r="J133" s="37"/>
    </row>
    <row r="134" spans="1:10" ht="16.5" customHeight="1">
      <c r="A134" s="43"/>
      <c r="B134" s="48"/>
      <c r="C134" s="48"/>
      <c r="E134" s="66"/>
      <c r="F134" s="72"/>
      <c r="G134" s="49"/>
      <c r="I134" s="19"/>
      <c r="J134" s="37"/>
    </row>
    <row r="135" spans="1:10" ht="16.5" customHeight="1">
      <c r="A135" s="45">
        <v>13</v>
      </c>
      <c r="B135" s="46" t="s">
        <v>89</v>
      </c>
      <c r="C135" s="46"/>
      <c r="D135" s="73">
        <f>F$133*1000</f>
        <v>3509987.8221755996</v>
      </c>
      <c r="E135" s="245">
        <v>0.2</v>
      </c>
      <c r="F135" s="71">
        <f>D135*E135*0.001</f>
        <v>701.99756443512001</v>
      </c>
      <c r="G135" s="47"/>
      <c r="H135" s="46"/>
      <c r="I135" s="19"/>
      <c r="J135" s="37"/>
    </row>
    <row r="136" spans="1:10" ht="16.5" customHeight="1">
      <c r="E136" s="66"/>
      <c r="F136" s="66"/>
      <c r="G136" s="33"/>
      <c r="I136" s="19"/>
      <c r="J136" s="37"/>
    </row>
    <row r="137" spans="1:10" ht="16.5" customHeight="1">
      <c r="A137" s="12"/>
      <c r="B137" s="50" t="s">
        <v>90</v>
      </c>
      <c r="C137" s="7"/>
      <c r="D137" s="61"/>
      <c r="E137" s="62"/>
      <c r="F137" s="60">
        <f>F$133+F$135</f>
        <v>4211.9853866107196</v>
      </c>
      <c r="G137" s="8"/>
      <c r="H137" s="13"/>
      <c r="I137" s="19"/>
      <c r="J137" s="37"/>
    </row>
    <row r="138" spans="1:10">
      <c r="I138" s="19"/>
      <c r="J138" s="37"/>
    </row>
    <row r="139" spans="1:10">
      <c r="I139" s="19"/>
      <c r="J139" s="37"/>
    </row>
    <row r="140" spans="1:10">
      <c r="I140" s="19"/>
      <c r="J140" s="37"/>
    </row>
    <row r="141" spans="1:10">
      <c r="I141" s="19"/>
      <c r="J141" s="37"/>
    </row>
    <row r="142" spans="1:10">
      <c r="I142" s="19"/>
      <c r="J142" s="37"/>
    </row>
    <row r="143" spans="1:10">
      <c r="I143" s="19"/>
      <c r="J143" s="37"/>
    </row>
    <row r="144" spans="1:10">
      <c r="I144" s="19"/>
      <c r="J144" s="37"/>
    </row>
    <row r="145" spans="9:10">
      <c r="I145" s="19"/>
      <c r="J145" s="37"/>
    </row>
    <row r="146" spans="9:10">
      <c r="I146" s="19"/>
      <c r="J146" s="37"/>
    </row>
    <row r="147" spans="9:10">
      <c r="I147" s="19"/>
      <c r="J147" s="37"/>
    </row>
    <row r="148" spans="9:10">
      <c r="I148" s="19"/>
      <c r="J148" s="37"/>
    </row>
    <row r="149" spans="9:10">
      <c r="I149" s="19"/>
      <c r="J149" s="37"/>
    </row>
    <row r="150" spans="9:10">
      <c r="I150" s="19"/>
      <c r="J150" s="37"/>
    </row>
    <row r="151" spans="9:10">
      <c r="I151" s="19"/>
      <c r="J151" s="37"/>
    </row>
    <row r="152" spans="9:10">
      <c r="I152" s="19"/>
      <c r="J152" s="37"/>
    </row>
    <row r="153" spans="9:10">
      <c r="I153" s="19"/>
      <c r="J153" s="37"/>
    </row>
    <row r="154" spans="9:10">
      <c r="I154" s="19"/>
      <c r="J154" s="37"/>
    </row>
    <row r="155" spans="9:10">
      <c r="I155" s="19"/>
      <c r="J155" s="37"/>
    </row>
    <row r="156" spans="9:10">
      <c r="I156" s="19"/>
      <c r="J156" s="37"/>
    </row>
    <row r="157" spans="9:10">
      <c r="I157" s="19"/>
      <c r="J157" s="37"/>
    </row>
    <row r="158" spans="9:10">
      <c r="I158" s="19"/>
      <c r="J158" s="37"/>
    </row>
    <row r="159" spans="9:10">
      <c r="I159" s="19"/>
      <c r="J159" s="37"/>
    </row>
    <row r="160" spans="9:10">
      <c r="I160" s="19"/>
      <c r="J160" s="37"/>
    </row>
    <row r="161" spans="9:10">
      <c r="I161" s="19"/>
      <c r="J161" s="37"/>
    </row>
    <row r="162" spans="9:10">
      <c r="I162" s="19"/>
      <c r="J162" s="37"/>
    </row>
    <row r="163" spans="9:10">
      <c r="I163" s="19"/>
      <c r="J163" s="37"/>
    </row>
    <row r="164" spans="9:10">
      <c r="I164" s="19"/>
      <c r="J164" s="37"/>
    </row>
    <row r="165" spans="9:10">
      <c r="I165" s="19"/>
      <c r="J165" s="37"/>
    </row>
    <row r="166" spans="9:10">
      <c r="I166" s="19"/>
      <c r="J166" s="37"/>
    </row>
    <row r="167" spans="9:10">
      <c r="I167" s="19"/>
      <c r="J167" s="37"/>
    </row>
    <row r="168" spans="9:10">
      <c r="I168" s="19"/>
      <c r="J168" s="37"/>
    </row>
    <row r="169" spans="9:10">
      <c r="I169" s="19"/>
      <c r="J169" s="37"/>
    </row>
    <row r="170" spans="9:10">
      <c r="I170" s="19"/>
      <c r="J170" s="37"/>
    </row>
    <row r="171" spans="9:10">
      <c r="I171" s="19"/>
      <c r="J171" s="37"/>
    </row>
    <row r="172" spans="9:10">
      <c r="I172" s="19"/>
      <c r="J172" s="37"/>
    </row>
    <row r="173" spans="9:10">
      <c r="I173" s="19"/>
      <c r="J173" s="37"/>
    </row>
    <row r="174" spans="9:10">
      <c r="I174" s="19"/>
      <c r="J174" s="37"/>
    </row>
  </sheetData>
  <mergeCells count="1">
    <mergeCell ref="L3:S11"/>
  </mergeCells>
  <conditionalFormatting sqref="I24:N65536 I3:I5 I17:I22 N12:N22 L3 I7:I15 K18:L22 M20:M22 K5 K8:K15 L12:M15">
    <cfRule type="cellIs" dxfId="16" priority="1" stopIfTrue="1" operator="equal">
      <formula>0</formula>
    </cfRule>
  </conditionalFormatting>
  <printOptions horizontalCentered="1" gridLines="1"/>
  <pageMargins left="0.75" right="0.75" top="0.63" bottom="0.63" header="0.32" footer="0.45"/>
  <pageSetup scale="58" fitToHeight="2" orientation="portrait" r:id="rId1"/>
  <headerFooter alignWithMargins="0">
    <oddHeader>&amp;L&amp;"Arial,Bold Italic"&amp;11&amp;A&amp;C&amp;"Arial,Bold Italic"&amp;11Ten Mile River Hydro
Phase I Feasibility Study&amp;R&amp;"Arial,Bold Italic"&amp;11For Planning Purposes Only</oddHeader>
    <oddFooter>&amp;L&amp;F&amp;R&amp;G</oddFooter>
  </headerFooter>
  <rowBreaks count="1" manualBreakCount="1">
    <brk id="92" max="7" man="1"/>
  </rowBreaks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5"/>
  </sheetPr>
  <dimension ref="A1:S174"/>
  <sheetViews>
    <sheetView view="pageBreakPreview" topLeftCell="A38" zoomScale="75" zoomScaleNormal="75" zoomScaleSheetLayoutView="75" workbookViewId="0">
      <selection activeCell="H11" sqref="H11"/>
    </sheetView>
  </sheetViews>
  <sheetFormatPr defaultRowHeight="12.75"/>
  <cols>
    <col min="1" max="1" width="4.85546875" style="11" customWidth="1"/>
    <col min="2" max="2" width="32.5703125" style="11" customWidth="1"/>
    <col min="3" max="3" width="9.140625" style="11"/>
    <col min="4" max="4" width="12.42578125" style="69" customWidth="1"/>
    <col min="5" max="5" width="9.42578125" style="69" customWidth="1"/>
    <col min="6" max="6" width="12.85546875" style="69" customWidth="1"/>
    <col min="7" max="7" width="3.140625" style="11" customWidth="1"/>
    <col min="8" max="8" width="60.7109375" style="11" customWidth="1"/>
    <col min="9" max="9" width="4.85546875" style="11" customWidth="1"/>
    <col min="10" max="10" width="12.28515625" style="51" customWidth="1"/>
    <col min="11" max="11" width="12.42578125" style="10" customWidth="1"/>
    <col min="12" max="12" width="12.5703125" style="10" customWidth="1"/>
    <col min="13" max="14" width="9.140625" style="10"/>
    <col min="15" max="16384" width="9.140625" style="11"/>
  </cols>
  <sheetData>
    <row r="1" spans="1:19" ht="25.5">
      <c r="A1" s="7" t="s">
        <v>0</v>
      </c>
      <c r="B1" s="7" t="s">
        <v>1</v>
      </c>
      <c r="C1" s="7" t="s">
        <v>2</v>
      </c>
      <c r="D1" s="12" t="s">
        <v>3</v>
      </c>
      <c r="E1" s="60" t="s">
        <v>4</v>
      </c>
      <c r="F1" s="60" t="s">
        <v>5</v>
      </c>
      <c r="G1" s="8"/>
      <c r="H1" s="7" t="s">
        <v>6</v>
      </c>
      <c r="I1" s="7"/>
      <c r="J1" s="9"/>
      <c r="L1" s="170" t="s">
        <v>270</v>
      </c>
    </row>
    <row r="2" spans="1:19" ht="16.5" customHeight="1">
      <c r="A2" s="12">
        <v>1</v>
      </c>
      <c r="B2" s="7" t="s">
        <v>7</v>
      </c>
      <c r="C2" s="7"/>
      <c r="D2" s="61"/>
      <c r="E2" s="62"/>
      <c r="F2" s="62"/>
      <c r="G2" s="14"/>
      <c r="H2" s="13"/>
      <c r="I2" s="15"/>
      <c r="J2" s="16"/>
      <c r="K2" s="17"/>
      <c r="L2" s="141" t="s">
        <v>228</v>
      </c>
      <c r="M2" s="17"/>
      <c r="N2" s="17"/>
      <c r="O2" s="18"/>
      <c r="P2" s="18"/>
    </row>
    <row r="3" spans="1:19" ht="16.5" customHeight="1">
      <c r="A3" s="19" t="s">
        <v>8</v>
      </c>
      <c r="B3" s="20" t="s">
        <v>9</v>
      </c>
      <c r="C3" s="20"/>
      <c r="D3" s="61">
        <v>1</v>
      </c>
      <c r="E3" s="62">
        <v>25000</v>
      </c>
      <c r="F3" s="62">
        <f>0.001*D3*E3</f>
        <v>25</v>
      </c>
      <c r="G3" s="14"/>
      <c r="H3" s="13" t="s">
        <v>10</v>
      </c>
      <c r="I3" s="21"/>
      <c r="J3" s="22"/>
      <c r="K3" s="17"/>
      <c r="L3" s="374" t="s">
        <v>294</v>
      </c>
      <c r="M3" s="374"/>
      <c r="N3" s="374"/>
      <c r="O3" s="374"/>
      <c r="P3" s="374"/>
      <c r="Q3" s="374"/>
      <c r="R3" s="374"/>
      <c r="S3" s="374"/>
    </row>
    <row r="4" spans="1:19" ht="16.5" customHeight="1">
      <c r="A4" s="19" t="s">
        <v>11</v>
      </c>
      <c r="B4" s="20" t="s">
        <v>12</v>
      </c>
      <c r="C4" s="20"/>
      <c r="D4" s="61">
        <v>1</v>
      </c>
      <c r="E4" s="62">
        <v>10000</v>
      </c>
      <c r="F4" s="62">
        <f>0.001*D4*E4</f>
        <v>10</v>
      </c>
      <c r="G4" s="14"/>
      <c r="H4" s="13" t="s">
        <v>10</v>
      </c>
      <c r="I4" s="21"/>
      <c r="J4" s="22"/>
      <c r="K4" s="17"/>
      <c r="L4" s="374"/>
      <c r="M4" s="374"/>
      <c r="N4" s="374"/>
      <c r="O4" s="374"/>
      <c r="P4" s="374"/>
      <c r="Q4" s="374"/>
      <c r="R4" s="374"/>
      <c r="S4" s="374"/>
    </row>
    <row r="5" spans="1:19" ht="18" customHeight="1">
      <c r="A5" s="19" t="s">
        <v>13</v>
      </c>
      <c r="B5" s="23" t="s">
        <v>14</v>
      </c>
      <c r="C5" s="23" t="s">
        <v>15</v>
      </c>
      <c r="D5" s="61">
        <v>0.5</v>
      </c>
      <c r="E5" s="62">
        <v>8000</v>
      </c>
      <c r="F5" s="62">
        <f>0.001*D5*E5</f>
        <v>4</v>
      </c>
      <c r="G5" s="14"/>
      <c r="H5" s="142" t="s">
        <v>10</v>
      </c>
      <c r="I5" s="21"/>
      <c r="J5" s="22"/>
      <c r="K5" s="17"/>
      <c r="L5" s="374"/>
      <c r="M5" s="374"/>
      <c r="N5" s="374"/>
      <c r="O5" s="374"/>
      <c r="P5" s="374"/>
      <c r="Q5" s="374"/>
      <c r="R5" s="374"/>
      <c r="S5" s="374"/>
    </row>
    <row r="6" spans="1:19" ht="16.5" customHeight="1">
      <c r="A6" s="19" t="s">
        <v>16</v>
      </c>
      <c r="B6" s="23" t="s">
        <v>17</v>
      </c>
      <c r="C6" s="23" t="s">
        <v>18</v>
      </c>
      <c r="D6" s="61">
        <v>100</v>
      </c>
      <c r="E6" s="62">
        <v>10</v>
      </c>
      <c r="F6" s="62">
        <f>0.001*D6*E6</f>
        <v>1</v>
      </c>
      <c r="G6" s="14"/>
      <c r="H6" s="142" t="s">
        <v>10</v>
      </c>
      <c r="I6" s="18"/>
      <c r="J6" s="24"/>
      <c r="K6" s="25"/>
      <c r="L6" s="374"/>
      <c r="M6" s="374"/>
      <c r="N6" s="374"/>
      <c r="O6" s="374"/>
      <c r="P6" s="374"/>
      <c r="Q6" s="374"/>
      <c r="R6" s="374"/>
      <c r="S6" s="374"/>
    </row>
    <row r="7" spans="1:19" ht="16.5" customHeight="1">
      <c r="A7" s="26" t="s">
        <v>19</v>
      </c>
      <c r="B7" s="27" t="s">
        <v>151</v>
      </c>
      <c r="C7" s="27"/>
      <c r="D7" s="184">
        <v>1</v>
      </c>
      <c r="E7" s="64">
        <f>'Phase I Dam Repairs'!D3*1000</f>
        <v>50000</v>
      </c>
      <c r="F7" s="64">
        <f>0.001*D7*E7</f>
        <v>50</v>
      </c>
      <c r="G7" s="29"/>
      <c r="H7" s="238" t="s">
        <v>295</v>
      </c>
      <c r="I7" s="21"/>
      <c r="J7" s="22"/>
      <c r="K7" s="30"/>
      <c r="L7" s="374"/>
      <c r="M7" s="374"/>
      <c r="N7" s="374"/>
      <c r="O7" s="374"/>
      <c r="P7" s="374"/>
      <c r="Q7" s="374"/>
      <c r="R7" s="374"/>
      <c r="S7" s="374"/>
    </row>
    <row r="8" spans="1:19" ht="16.5" customHeight="1">
      <c r="A8" s="19" t="s">
        <v>21</v>
      </c>
      <c r="B8" s="19" t="s">
        <v>22</v>
      </c>
      <c r="C8" s="19"/>
      <c r="D8" s="61"/>
      <c r="E8" s="62"/>
      <c r="F8" s="62">
        <f>SUM(F2:F7)</f>
        <v>90</v>
      </c>
      <c r="G8" s="14"/>
      <c r="H8" s="13"/>
      <c r="I8" s="21"/>
      <c r="J8" s="22"/>
      <c r="K8" s="31"/>
      <c r="L8" s="374"/>
      <c r="M8" s="374"/>
      <c r="N8" s="374"/>
      <c r="O8" s="374"/>
      <c r="P8" s="374"/>
      <c r="Q8" s="374"/>
      <c r="R8" s="374"/>
      <c r="S8" s="374"/>
    </row>
    <row r="9" spans="1:19" ht="16.5" customHeight="1">
      <c r="A9" s="19"/>
      <c r="B9" s="13"/>
      <c r="C9" s="13"/>
      <c r="D9" s="61"/>
      <c r="E9" s="62"/>
      <c r="F9" s="62"/>
      <c r="G9" s="14"/>
      <c r="H9" s="13"/>
      <c r="I9" s="21"/>
      <c r="J9" s="22"/>
      <c r="K9" s="31"/>
      <c r="L9" s="374"/>
      <c r="M9" s="374"/>
      <c r="N9" s="374"/>
      <c r="O9" s="374"/>
      <c r="P9" s="374"/>
      <c r="Q9" s="374"/>
      <c r="R9" s="374"/>
      <c r="S9" s="374"/>
    </row>
    <row r="10" spans="1:19" ht="16.5" customHeight="1">
      <c r="A10" s="12">
        <v>2</v>
      </c>
      <c r="B10" s="7" t="s">
        <v>130</v>
      </c>
      <c r="C10" s="7"/>
      <c r="D10" s="65"/>
      <c r="E10" s="62"/>
      <c r="F10" s="62"/>
      <c r="G10" s="14"/>
      <c r="H10" s="13"/>
      <c r="I10" s="21"/>
      <c r="J10" s="22"/>
      <c r="K10" s="31"/>
      <c r="L10" s="374"/>
      <c r="M10" s="374"/>
      <c r="N10" s="374"/>
      <c r="O10" s="374"/>
      <c r="P10" s="374"/>
      <c r="Q10" s="374"/>
      <c r="R10" s="374"/>
      <c r="S10" s="374"/>
    </row>
    <row r="11" spans="1:19" ht="16.5" customHeight="1">
      <c r="A11" s="19" t="s">
        <v>8</v>
      </c>
      <c r="B11" s="20" t="s">
        <v>114</v>
      </c>
      <c r="C11" s="32"/>
      <c r="D11" s="66"/>
      <c r="E11" s="62"/>
      <c r="F11" s="62">
        <v>100</v>
      </c>
      <c r="G11" s="14"/>
      <c r="H11" s="13" t="s">
        <v>10</v>
      </c>
      <c r="I11" s="21"/>
      <c r="J11" s="22"/>
      <c r="K11" s="31"/>
      <c r="L11" s="374"/>
      <c r="M11" s="374"/>
      <c r="N11" s="374"/>
      <c r="O11" s="374"/>
      <c r="P11" s="374"/>
      <c r="Q11" s="374"/>
      <c r="R11" s="374"/>
      <c r="S11" s="374"/>
    </row>
    <row r="12" spans="1:19" ht="16.5" customHeight="1">
      <c r="A12" s="19" t="s">
        <v>11</v>
      </c>
      <c r="B12" s="194" t="s">
        <v>376</v>
      </c>
      <c r="C12" s="32"/>
      <c r="D12" s="66"/>
      <c r="E12" s="62"/>
      <c r="F12" s="62">
        <v>10</v>
      </c>
      <c r="G12" s="14"/>
      <c r="H12" s="13" t="s">
        <v>10</v>
      </c>
      <c r="I12" s="21"/>
      <c r="J12" s="22"/>
      <c r="K12" s="31"/>
      <c r="L12" s="31"/>
      <c r="M12" s="31"/>
      <c r="N12" s="17"/>
      <c r="O12" s="18"/>
      <c r="P12" s="18"/>
    </row>
    <row r="13" spans="1:19" ht="16.5" customHeight="1">
      <c r="A13" s="19" t="s">
        <v>13</v>
      </c>
      <c r="B13" s="194" t="s">
        <v>318</v>
      </c>
      <c r="C13" s="20"/>
      <c r="D13" s="66">
        <v>1</v>
      </c>
      <c r="E13" s="62">
        <f>'Pwrhse Cost Estimator'!D30</f>
        <v>677586.02465811581</v>
      </c>
      <c r="F13" s="62">
        <f t="shared" ref="F13:F29" si="0">0.001*D13*E13</f>
        <v>677.58602465811578</v>
      </c>
      <c r="G13" s="14"/>
      <c r="H13" s="142" t="s">
        <v>377</v>
      </c>
      <c r="I13" s="21"/>
      <c r="J13" s="22"/>
      <c r="K13" s="31"/>
      <c r="L13" s="31"/>
      <c r="M13" s="31"/>
      <c r="N13" s="17"/>
      <c r="O13" s="18"/>
      <c r="P13" s="18"/>
    </row>
    <row r="14" spans="1:19" ht="16.5" hidden="1" customHeight="1">
      <c r="A14" s="19" t="s">
        <v>25</v>
      </c>
      <c r="B14" s="34" t="s">
        <v>26</v>
      </c>
      <c r="C14" s="23" t="s">
        <v>27</v>
      </c>
      <c r="D14" s="173">
        <v>0</v>
      </c>
      <c r="E14" s="171">
        <v>25</v>
      </c>
      <c r="F14" s="62">
        <f t="shared" si="0"/>
        <v>0</v>
      </c>
      <c r="G14" s="14"/>
      <c r="H14" s="143" t="s">
        <v>253</v>
      </c>
      <c r="I14" s="21"/>
      <c r="J14" s="22"/>
      <c r="K14" s="17"/>
      <c r="L14" s="17"/>
      <c r="M14" s="17"/>
      <c r="N14" s="17"/>
      <c r="O14" s="18"/>
      <c r="P14" s="18"/>
    </row>
    <row r="15" spans="1:19" ht="27.75" hidden="1" customHeight="1">
      <c r="A15" s="19" t="s">
        <v>28</v>
      </c>
      <c r="B15" s="35" t="s">
        <v>29</v>
      </c>
      <c r="C15" s="23" t="s">
        <v>27</v>
      </c>
      <c r="D15" s="174">
        <v>0</v>
      </c>
      <c r="E15" s="62">
        <v>100</v>
      </c>
      <c r="F15" s="62">
        <f t="shared" si="0"/>
        <v>0</v>
      </c>
      <c r="G15" s="14"/>
      <c r="H15" s="143" t="s">
        <v>253</v>
      </c>
      <c r="I15" s="21"/>
      <c r="J15" s="22"/>
      <c r="K15" s="17"/>
      <c r="L15" s="17"/>
      <c r="M15" s="17"/>
      <c r="N15" s="17"/>
      <c r="O15" s="18"/>
      <c r="P15" s="18"/>
    </row>
    <row r="16" spans="1:19" ht="16.5" hidden="1" customHeight="1">
      <c r="A16" s="19" t="s">
        <v>30</v>
      </c>
      <c r="B16" s="35" t="s">
        <v>31</v>
      </c>
      <c r="C16" s="23" t="s">
        <v>27</v>
      </c>
      <c r="D16" s="174">
        <v>0</v>
      </c>
      <c r="E16" s="62">
        <v>100</v>
      </c>
      <c r="F16" s="62">
        <f t="shared" si="0"/>
        <v>0</v>
      </c>
      <c r="G16" s="14"/>
      <c r="H16" s="143" t="s">
        <v>253</v>
      </c>
      <c r="I16" s="18"/>
      <c r="J16" s="24"/>
      <c r="K16" s="25"/>
      <c r="L16" s="25"/>
      <c r="M16" s="25"/>
      <c r="N16" s="17"/>
      <c r="O16" s="18"/>
      <c r="P16" s="18"/>
    </row>
    <row r="17" spans="1:16" ht="16.5" hidden="1" customHeight="1">
      <c r="A17" s="21" t="s">
        <v>16</v>
      </c>
      <c r="B17" s="23" t="s">
        <v>32</v>
      </c>
      <c r="C17" s="23"/>
      <c r="D17" s="67">
        <v>0</v>
      </c>
      <c r="E17" s="62">
        <v>10000</v>
      </c>
      <c r="F17" s="62">
        <f t="shared" si="0"/>
        <v>0</v>
      </c>
      <c r="G17" s="14"/>
      <c r="H17" s="13" t="s">
        <v>10</v>
      </c>
      <c r="I17" s="21"/>
      <c r="J17" s="22"/>
      <c r="K17" s="30"/>
      <c r="L17" s="30"/>
      <c r="M17" s="30"/>
      <c r="N17" s="17"/>
      <c r="O17" s="18"/>
      <c r="P17" s="18"/>
    </row>
    <row r="18" spans="1:16" ht="16.5" hidden="1" customHeight="1">
      <c r="A18" s="19" t="s">
        <v>19</v>
      </c>
      <c r="B18" s="23" t="s">
        <v>33</v>
      </c>
      <c r="C18" s="23" t="s">
        <v>34</v>
      </c>
      <c r="D18" s="67">
        <v>0</v>
      </c>
      <c r="E18" s="62">
        <v>1000</v>
      </c>
      <c r="F18" s="62">
        <f t="shared" si="0"/>
        <v>0</v>
      </c>
      <c r="G18" s="14"/>
      <c r="H18" s="36" t="s">
        <v>156</v>
      </c>
      <c r="I18" s="21"/>
      <c r="J18" s="22"/>
      <c r="K18" s="31"/>
      <c r="L18" s="31"/>
      <c r="M18" s="30"/>
      <c r="N18" s="17"/>
      <c r="O18" s="18"/>
      <c r="P18" s="18"/>
    </row>
    <row r="19" spans="1:16" ht="16.5" hidden="1" customHeight="1">
      <c r="A19" s="19" t="s">
        <v>21</v>
      </c>
      <c r="B19" s="23" t="s">
        <v>57</v>
      </c>
      <c r="C19" s="23" t="s">
        <v>27</v>
      </c>
      <c r="D19" s="175">
        <v>0</v>
      </c>
      <c r="E19" s="62">
        <v>750</v>
      </c>
      <c r="F19" s="62">
        <f t="shared" si="0"/>
        <v>0</v>
      </c>
      <c r="G19" s="14"/>
      <c r="H19" s="13" t="s">
        <v>10</v>
      </c>
      <c r="I19" s="21"/>
      <c r="J19" s="22"/>
      <c r="K19" s="31"/>
      <c r="L19" s="31"/>
      <c r="M19" s="30"/>
      <c r="N19" s="17"/>
      <c r="O19" s="18"/>
      <c r="P19" s="18"/>
    </row>
    <row r="20" spans="1:16" ht="16.5" hidden="1" customHeight="1">
      <c r="A20" s="19" t="s">
        <v>35</v>
      </c>
      <c r="B20" s="23" t="s">
        <v>124</v>
      </c>
      <c r="C20" s="23" t="s">
        <v>23</v>
      </c>
      <c r="D20" s="174">
        <v>0</v>
      </c>
      <c r="E20" s="62">
        <v>100</v>
      </c>
      <c r="F20" s="62">
        <f t="shared" si="0"/>
        <v>0</v>
      </c>
      <c r="G20" s="14"/>
      <c r="H20" s="143" t="s">
        <v>253</v>
      </c>
      <c r="I20" s="21"/>
      <c r="J20" s="22"/>
      <c r="K20" s="31"/>
      <c r="L20" s="31"/>
      <c r="M20" s="31"/>
      <c r="N20" s="17"/>
      <c r="O20" s="18"/>
      <c r="P20" s="18"/>
    </row>
    <row r="21" spans="1:16" ht="16.5" hidden="1" customHeight="1">
      <c r="A21" s="19" t="s">
        <v>36</v>
      </c>
      <c r="B21" s="20" t="s">
        <v>37</v>
      </c>
      <c r="C21" s="32" t="s">
        <v>23</v>
      </c>
      <c r="D21" s="173">
        <v>0</v>
      </c>
      <c r="E21" s="62">
        <v>400</v>
      </c>
      <c r="F21" s="62">
        <f t="shared" si="0"/>
        <v>0</v>
      </c>
      <c r="G21" s="14"/>
      <c r="H21" s="143" t="s">
        <v>252</v>
      </c>
      <c r="I21" s="21"/>
      <c r="J21" s="22"/>
      <c r="K21" s="31"/>
      <c r="L21" s="31"/>
      <c r="M21" s="31"/>
      <c r="N21" s="17"/>
      <c r="O21" s="18"/>
      <c r="P21" s="18"/>
    </row>
    <row r="22" spans="1:16" ht="16.5" hidden="1" customHeight="1">
      <c r="A22" s="19" t="s">
        <v>25</v>
      </c>
      <c r="B22" s="20" t="s">
        <v>38</v>
      </c>
      <c r="C22" s="32"/>
      <c r="D22" s="66">
        <v>0</v>
      </c>
      <c r="E22" s="62">
        <v>150000</v>
      </c>
      <c r="F22" s="62">
        <f t="shared" si="0"/>
        <v>0</v>
      </c>
      <c r="G22" s="14"/>
      <c r="H22" s="36" t="s">
        <v>159</v>
      </c>
      <c r="I22" s="21"/>
      <c r="J22" s="22"/>
      <c r="K22" s="31"/>
      <c r="L22" s="31"/>
      <c r="M22" s="31"/>
      <c r="N22" s="17"/>
      <c r="O22" s="18"/>
      <c r="P22" s="18"/>
    </row>
    <row r="23" spans="1:16" ht="16.5" hidden="1" customHeight="1">
      <c r="A23" s="19" t="s">
        <v>39</v>
      </c>
      <c r="B23" s="23" t="s">
        <v>160</v>
      </c>
      <c r="C23" s="20"/>
      <c r="D23" s="61">
        <v>0</v>
      </c>
      <c r="E23" s="62">
        <v>15000</v>
      </c>
      <c r="F23" s="62">
        <f t="shared" si="0"/>
        <v>0</v>
      </c>
      <c r="G23" s="14"/>
      <c r="H23" s="36" t="s">
        <v>10</v>
      </c>
      <c r="J23" s="11"/>
      <c r="K23" s="11"/>
      <c r="L23" s="11"/>
      <c r="M23" s="11"/>
      <c r="N23" s="11"/>
    </row>
    <row r="24" spans="1:16" ht="16.5" customHeight="1">
      <c r="A24" s="19" t="s">
        <v>40</v>
      </c>
      <c r="B24" s="20" t="s">
        <v>129</v>
      </c>
      <c r="C24" s="20"/>
      <c r="D24" s="61">
        <v>1</v>
      </c>
      <c r="E24" s="62">
        <v>20000</v>
      </c>
      <c r="F24" s="62">
        <f t="shared" si="0"/>
        <v>20</v>
      </c>
      <c r="G24" s="14"/>
      <c r="H24" s="13"/>
      <c r="I24" s="19"/>
      <c r="J24" s="37"/>
    </row>
    <row r="25" spans="1:16" ht="16.5" customHeight="1">
      <c r="A25" s="19" t="s">
        <v>41</v>
      </c>
      <c r="B25" s="20" t="s">
        <v>42</v>
      </c>
      <c r="C25" s="20"/>
      <c r="D25" s="61">
        <v>1</v>
      </c>
      <c r="E25" s="62">
        <v>5000</v>
      </c>
      <c r="F25" s="62">
        <f t="shared" si="0"/>
        <v>5</v>
      </c>
      <c r="G25" s="14"/>
      <c r="H25" s="13" t="s">
        <v>10</v>
      </c>
      <c r="I25" s="19"/>
      <c r="J25" s="37"/>
    </row>
    <row r="26" spans="1:16" ht="16.5" customHeight="1">
      <c r="A26" s="19" t="s">
        <v>43</v>
      </c>
      <c r="B26" s="20" t="s">
        <v>44</v>
      </c>
      <c r="C26" s="20"/>
      <c r="D26" s="61">
        <v>1</v>
      </c>
      <c r="E26" s="239">
        <v>10000</v>
      </c>
      <c r="F26" s="239">
        <f t="shared" si="0"/>
        <v>10</v>
      </c>
      <c r="G26" s="240"/>
      <c r="H26" s="142" t="s">
        <v>10</v>
      </c>
      <c r="I26" s="19"/>
      <c r="J26" s="37"/>
    </row>
    <row r="27" spans="1:16" ht="19.5" customHeight="1">
      <c r="A27" s="19" t="s">
        <v>45</v>
      </c>
      <c r="B27" s="20" t="s">
        <v>46</v>
      </c>
      <c r="C27" s="20"/>
      <c r="D27" s="61">
        <v>1</v>
      </c>
      <c r="E27" s="239">
        <v>10000</v>
      </c>
      <c r="F27" s="239">
        <f t="shared" si="0"/>
        <v>10</v>
      </c>
      <c r="G27" s="240"/>
      <c r="H27" s="142" t="s">
        <v>10</v>
      </c>
      <c r="I27" s="19"/>
      <c r="J27" s="37"/>
    </row>
    <row r="28" spans="1:16">
      <c r="A28" s="19" t="s">
        <v>47</v>
      </c>
      <c r="B28" s="20" t="s">
        <v>48</v>
      </c>
      <c r="C28" s="20"/>
      <c r="D28" s="61">
        <v>1</v>
      </c>
      <c r="E28" s="62">
        <v>5000</v>
      </c>
      <c r="F28" s="62">
        <f t="shared" si="0"/>
        <v>5</v>
      </c>
      <c r="G28" s="14"/>
      <c r="H28" s="13" t="s">
        <v>10</v>
      </c>
      <c r="I28" s="19"/>
      <c r="J28" s="37"/>
    </row>
    <row r="29" spans="1:16" ht="16.5" customHeight="1">
      <c r="A29" s="26" t="s">
        <v>49</v>
      </c>
      <c r="B29" s="192" t="s">
        <v>20</v>
      </c>
      <c r="C29" s="27"/>
      <c r="D29" s="68"/>
      <c r="E29" s="64"/>
      <c r="F29" s="64">
        <f t="shared" si="0"/>
        <v>0</v>
      </c>
      <c r="G29" s="29"/>
      <c r="H29" s="238"/>
      <c r="I29" s="19"/>
      <c r="J29" s="37"/>
    </row>
    <row r="30" spans="1:16">
      <c r="A30" s="19" t="s">
        <v>50</v>
      </c>
      <c r="B30" s="264" t="s">
        <v>385</v>
      </c>
      <c r="C30" s="19"/>
      <c r="D30" s="61"/>
      <c r="E30" s="62"/>
      <c r="F30" s="62">
        <f>SUM(F11:F29)</f>
        <v>837.58602465811578</v>
      </c>
      <c r="G30" s="14"/>
      <c r="H30" s="13"/>
      <c r="I30" s="19"/>
      <c r="J30" s="37"/>
    </row>
    <row r="31" spans="1:16" ht="16.5" customHeight="1">
      <c r="A31" s="19"/>
      <c r="B31" s="13"/>
      <c r="C31" s="13"/>
      <c r="D31" s="61"/>
      <c r="E31" s="62"/>
      <c r="F31" s="62"/>
      <c r="G31" s="14"/>
      <c r="H31" s="13"/>
      <c r="I31" s="19"/>
      <c r="J31" s="37"/>
    </row>
    <row r="32" spans="1:16" ht="16.5" customHeight="1">
      <c r="A32" s="12">
        <v>3</v>
      </c>
      <c r="B32" s="7" t="s">
        <v>52</v>
      </c>
      <c r="C32" s="7"/>
      <c r="D32" s="61"/>
      <c r="E32" s="62"/>
      <c r="F32" s="62"/>
      <c r="G32" s="14"/>
      <c r="H32" s="13"/>
      <c r="I32" s="19"/>
      <c r="J32" s="37"/>
    </row>
    <row r="33" spans="1:10">
      <c r="A33" s="19" t="s">
        <v>8</v>
      </c>
      <c r="B33" s="194" t="s">
        <v>319</v>
      </c>
      <c r="C33" s="20"/>
      <c r="D33" s="61">
        <v>1</v>
      </c>
      <c r="E33" s="62">
        <f>'TG Costs'!D29</f>
        <v>701857.76</v>
      </c>
      <c r="F33" s="62">
        <f t="shared" ref="F33:F38" si="1">0.001*D33*E33</f>
        <v>701.85775999999998</v>
      </c>
      <c r="G33" s="14"/>
      <c r="H33" s="142" t="s">
        <v>387</v>
      </c>
      <c r="I33" s="19"/>
      <c r="J33" s="37"/>
    </row>
    <row r="34" spans="1:10" ht="20.25" customHeight="1">
      <c r="A34" s="19" t="s">
        <v>11</v>
      </c>
      <c r="B34" s="23" t="s">
        <v>161</v>
      </c>
      <c r="C34" s="20"/>
      <c r="D34" s="61">
        <v>1</v>
      </c>
      <c r="E34" s="62">
        <f>SUM(F33,F35:F38)*1000*0.2</f>
        <v>163371.55200000003</v>
      </c>
      <c r="F34" s="62">
        <f t="shared" si="1"/>
        <v>163.37155200000004</v>
      </c>
      <c r="G34" s="14"/>
      <c r="H34" s="36" t="s">
        <v>162</v>
      </c>
      <c r="I34" s="19"/>
      <c r="J34" s="37"/>
    </row>
    <row r="35" spans="1:10" ht="16.5" customHeight="1">
      <c r="A35" s="19" t="s">
        <v>13</v>
      </c>
      <c r="B35" s="20" t="s">
        <v>53</v>
      </c>
      <c r="C35" s="20"/>
      <c r="D35" s="191">
        <v>1</v>
      </c>
      <c r="E35" s="239">
        <v>20000</v>
      </c>
      <c r="F35" s="239">
        <f t="shared" si="1"/>
        <v>20</v>
      </c>
      <c r="G35" s="240"/>
      <c r="H35" s="142" t="s">
        <v>274</v>
      </c>
      <c r="I35" s="19"/>
      <c r="J35" s="37"/>
    </row>
    <row r="36" spans="1:10" ht="16.5" customHeight="1">
      <c r="A36" s="19" t="s">
        <v>16</v>
      </c>
      <c r="B36" s="194" t="s">
        <v>320</v>
      </c>
      <c r="C36" s="20"/>
      <c r="D36" s="191">
        <v>1</v>
      </c>
      <c r="E36" s="239">
        <v>50000</v>
      </c>
      <c r="F36" s="239">
        <f t="shared" si="1"/>
        <v>50</v>
      </c>
      <c r="G36" s="240"/>
      <c r="H36" s="142" t="s">
        <v>384</v>
      </c>
      <c r="I36" s="19"/>
      <c r="J36" s="37"/>
    </row>
    <row r="37" spans="1:10">
      <c r="A37" s="19" t="s">
        <v>19</v>
      </c>
      <c r="B37" s="20" t="s">
        <v>55</v>
      </c>
      <c r="C37" s="20"/>
      <c r="D37" s="191">
        <v>1</v>
      </c>
      <c r="E37" s="239">
        <v>20000</v>
      </c>
      <c r="F37" s="239">
        <f t="shared" si="1"/>
        <v>20</v>
      </c>
      <c r="G37" s="240"/>
      <c r="H37" s="142" t="s">
        <v>10</v>
      </c>
      <c r="I37" s="19"/>
      <c r="J37" s="37"/>
    </row>
    <row r="38" spans="1:10" ht="16.5" customHeight="1">
      <c r="A38" s="26" t="s">
        <v>21</v>
      </c>
      <c r="B38" s="192" t="s">
        <v>321</v>
      </c>
      <c r="C38" s="27"/>
      <c r="D38" s="184">
        <v>1</v>
      </c>
      <c r="E38" s="64">
        <v>25000</v>
      </c>
      <c r="F38" s="64">
        <f t="shared" si="1"/>
        <v>25</v>
      </c>
      <c r="G38" s="29"/>
      <c r="H38" s="238" t="s">
        <v>10</v>
      </c>
      <c r="I38" s="19"/>
      <c r="J38" s="37"/>
    </row>
    <row r="39" spans="1:10" ht="16.5" customHeight="1">
      <c r="A39" s="19" t="s">
        <v>35</v>
      </c>
      <c r="B39" s="19" t="s">
        <v>56</v>
      </c>
      <c r="C39" s="19"/>
      <c r="D39" s="61"/>
      <c r="E39" s="62"/>
      <c r="F39" s="62">
        <f>SUM(F33:F38)</f>
        <v>980.22931200000005</v>
      </c>
      <c r="G39" s="14"/>
      <c r="H39" s="13"/>
      <c r="I39" s="19"/>
      <c r="J39" s="37"/>
    </row>
    <row r="40" spans="1:10" ht="16.5" hidden="1" customHeight="1">
      <c r="A40" s="19"/>
      <c r="B40" s="13"/>
      <c r="C40" s="13"/>
      <c r="D40" s="61"/>
      <c r="E40" s="62"/>
      <c r="F40" s="62"/>
      <c r="G40" s="14"/>
      <c r="H40" s="13"/>
      <c r="I40" s="19"/>
      <c r="J40" s="37"/>
    </row>
    <row r="41" spans="1:10" ht="16.5" hidden="1" customHeight="1">
      <c r="A41" s="12">
        <v>4</v>
      </c>
      <c r="B41" s="7" t="s">
        <v>132</v>
      </c>
      <c r="C41" s="7"/>
      <c r="D41" s="61"/>
      <c r="E41" s="62"/>
      <c r="F41" s="62"/>
      <c r="G41" s="14"/>
      <c r="H41" s="13"/>
      <c r="I41" s="19"/>
      <c r="J41" s="37"/>
    </row>
    <row r="42" spans="1:10" ht="16.5" hidden="1" customHeight="1">
      <c r="A42" s="19" t="s">
        <v>8</v>
      </c>
      <c r="B42" s="20" t="s">
        <v>133</v>
      </c>
      <c r="C42" s="23" t="s">
        <v>23</v>
      </c>
      <c r="D42" s="61"/>
      <c r="E42" s="62">
        <v>40</v>
      </c>
      <c r="F42" s="62">
        <f>0.001*D42*E42</f>
        <v>0</v>
      </c>
      <c r="G42" s="14"/>
      <c r="H42" s="13" t="s">
        <v>10</v>
      </c>
      <c r="I42" s="19"/>
      <c r="J42" s="37"/>
    </row>
    <row r="43" spans="1:10" ht="16.5" hidden="1" customHeight="1">
      <c r="A43" s="19" t="s">
        <v>11</v>
      </c>
      <c r="B43" s="20" t="s">
        <v>24</v>
      </c>
      <c r="C43" s="23" t="s">
        <v>27</v>
      </c>
      <c r="D43" s="61"/>
      <c r="E43" s="62">
        <v>15</v>
      </c>
      <c r="F43" s="62">
        <f>0.001*D43*E43</f>
        <v>0</v>
      </c>
      <c r="G43" s="14"/>
      <c r="H43" s="13" t="s">
        <v>10</v>
      </c>
      <c r="I43" s="19"/>
      <c r="J43" s="37"/>
    </row>
    <row r="44" spans="1:10" ht="16.5" hidden="1" customHeight="1">
      <c r="A44" s="19" t="s">
        <v>13</v>
      </c>
      <c r="B44" s="20" t="s">
        <v>134</v>
      </c>
      <c r="C44" s="23" t="s">
        <v>27</v>
      </c>
      <c r="D44" s="61"/>
      <c r="E44" s="62">
        <v>450</v>
      </c>
      <c r="F44" s="62">
        <f>0.001*D44*E44</f>
        <v>0</v>
      </c>
      <c r="G44" s="14"/>
      <c r="H44" s="13" t="s">
        <v>10</v>
      </c>
      <c r="I44" s="19"/>
      <c r="J44" s="37"/>
    </row>
    <row r="45" spans="1:10" hidden="1">
      <c r="A45" s="19" t="s">
        <v>16</v>
      </c>
      <c r="B45" s="20" t="s">
        <v>135</v>
      </c>
      <c r="C45" s="20"/>
      <c r="D45" s="61"/>
      <c r="E45" s="62"/>
      <c r="F45" s="62">
        <f>0.001*D45*E45</f>
        <v>0</v>
      </c>
      <c r="G45" s="14"/>
      <c r="H45" s="36"/>
      <c r="I45" s="19"/>
      <c r="J45" s="37"/>
    </row>
    <row r="46" spans="1:10" ht="16.5" hidden="1" customHeight="1">
      <c r="A46" s="26" t="s">
        <v>19</v>
      </c>
      <c r="B46" s="27" t="s">
        <v>20</v>
      </c>
      <c r="C46" s="27"/>
      <c r="D46" s="63"/>
      <c r="E46" s="64"/>
      <c r="F46" s="64">
        <f>0.001*D46*E46</f>
        <v>0</v>
      </c>
      <c r="G46" s="29"/>
      <c r="H46" s="28"/>
      <c r="I46" s="19"/>
      <c r="J46" s="37"/>
    </row>
    <row r="47" spans="1:10" ht="16.5" hidden="1" customHeight="1">
      <c r="A47" s="19" t="s">
        <v>21</v>
      </c>
      <c r="B47" s="19" t="s">
        <v>136</v>
      </c>
      <c r="C47" s="19"/>
      <c r="D47" s="61"/>
      <c r="E47" s="62"/>
      <c r="F47" s="62">
        <f>SUM(F42:F46)</f>
        <v>0</v>
      </c>
      <c r="G47" s="14"/>
      <c r="H47" s="13"/>
      <c r="I47" s="19"/>
      <c r="J47" s="37"/>
    </row>
    <row r="48" spans="1:10" ht="16.5" hidden="1" customHeight="1">
      <c r="A48" s="19"/>
      <c r="B48" s="13"/>
      <c r="C48" s="13"/>
      <c r="D48" s="61"/>
      <c r="E48" s="62"/>
      <c r="F48" s="62"/>
      <c r="G48" s="14"/>
      <c r="H48" s="13"/>
      <c r="I48" s="19"/>
      <c r="J48" s="37"/>
    </row>
    <row r="49" spans="1:10" ht="16.5" hidden="1" customHeight="1">
      <c r="A49" s="12">
        <v>5</v>
      </c>
      <c r="B49" s="7" t="s">
        <v>137</v>
      </c>
      <c r="C49" s="7"/>
      <c r="D49" s="61"/>
      <c r="E49" s="62"/>
      <c r="F49" s="62"/>
      <c r="G49" s="14"/>
      <c r="H49" s="13"/>
      <c r="I49" s="19"/>
      <c r="J49" s="37"/>
    </row>
    <row r="50" spans="1:10" ht="16.5" hidden="1" customHeight="1">
      <c r="A50" s="39" t="s">
        <v>8</v>
      </c>
      <c r="B50" s="40" t="s">
        <v>138</v>
      </c>
      <c r="C50" s="40"/>
      <c r="D50" s="61"/>
      <c r="E50" s="62">
        <v>1000</v>
      </c>
      <c r="F50" s="62">
        <f t="shared" ref="F50:F55" si="2">0.001*D50*E50</f>
        <v>0</v>
      </c>
      <c r="G50" s="14"/>
      <c r="H50" s="13" t="s">
        <v>10</v>
      </c>
      <c r="I50" s="19"/>
      <c r="J50" s="37"/>
    </row>
    <row r="51" spans="1:10" ht="16.5" hidden="1" customHeight="1">
      <c r="A51" s="39" t="s">
        <v>11</v>
      </c>
      <c r="B51" s="23" t="s">
        <v>17</v>
      </c>
      <c r="C51" s="23" t="s">
        <v>18</v>
      </c>
      <c r="D51" s="61"/>
      <c r="E51" s="62">
        <v>5</v>
      </c>
      <c r="F51" s="62">
        <f t="shared" si="2"/>
        <v>0</v>
      </c>
      <c r="G51" s="14"/>
      <c r="H51" s="13" t="s">
        <v>139</v>
      </c>
      <c r="I51" s="19"/>
      <c r="J51" s="37"/>
    </row>
    <row r="52" spans="1:10" ht="16.5" hidden="1" customHeight="1">
      <c r="A52" s="19" t="s">
        <v>13</v>
      </c>
      <c r="B52" s="41" t="s">
        <v>140</v>
      </c>
      <c r="C52" s="40" t="s">
        <v>15</v>
      </c>
      <c r="D52" s="61"/>
      <c r="E52" s="62">
        <v>6201</v>
      </c>
      <c r="F52" s="62">
        <f t="shared" si="2"/>
        <v>0</v>
      </c>
      <c r="G52" s="14"/>
      <c r="H52" s="13" t="s">
        <v>10</v>
      </c>
      <c r="I52" s="19"/>
      <c r="J52" s="37"/>
    </row>
    <row r="53" spans="1:10" ht="16.5" hidden="1" customHeight="1">
      <c r="A53" s="19" t="s">
        <v>16</v>
      </c>
      <c r="B53" s="41" t="s">
        <v>24</v>
      </c>
      <c r="C53" s="41" t="s">
        <v>27</v>
      </c>
      <c r="D53" s="67"/>
      <c r="E53" s="62">
        <v>15</v>
      </c>
      <c r="F53" s="62">
        <f t="shared" si="2"/>
        <v>0</v>
      </c>
      <c r="G53" s="14"/>
      <c r="H53" s="13" t="s">
        <v>139</v>
      </c>
      <c r="I53" s="19"/>
      <c r="J53" s="37"/>
    </row>
    <row r="54" spans="1:10" ht="16.5" hidden="1" customHeight="1">
      <c r="A54" s="19" t="s">
        <v>19</v>
      </c>
      <c r="B54" s="41" t="s">
        <v>141</v>
      </c>
      <c r="C54" s="41" t="s">
        <v>27</v>
      </c>
      <c r="D54" s="67"/>
      <c r="E54" s="62">
        <v>40</v>
      </c>
      <c r="F54" s="62">
        <f t="shared" si="2"/>
        <v>0</v>
      </c>
      <c r="G54" s="14"/>
      <c r="H54" s="13" t="s">
        <v>139</v>
      </c>
      <c r="I54" s="19"/>
      <c r="J54" s="37"/>
    </row>
    <row r="55" spans="1:10" ht="16.5" hidden="1" customHeight="1">
      <c r="A55" s="26" t="s">
        <v>21</v>
      </c>
      <c r="B55" s="27" t="s">
        <v>20</v>
      </c>
      <c r="C55" s="27"/>
      <c r="D55" s="63"/>
      <c r="E55" s="64"/>
      <c r="F55" s="64">
        <f t="shared" si="2"/>
        <v>0</v>
      </c>
      <c r="G55" s="29"/>
      <c r="H55" s="28"/>
      <c r="I55" s="19"/>
      <c r="J55" s="37"/>
    </row>
    <row r="56" spans="1:10" ht="16.5" hidden="1" customHeight="1">
      <c r="A56" s="19" t="s">
        <v>35</v>
      </c>
      <c r="B56" s="21" t="s">
        <v>142</v>
      </c>
      <c r="C56" s="21"/>
      <c r="D56" s="61"/>
      <c r="E56" s="62"/>
      <c r="F56" s="62">
        <f>SUM(F50:F55)</f>
        <v>0</v>
      </c>
      <c r="G56" s="14"/>
      <c r="H56" s="13"/>
      <c r="I56" s="19"/>
      <c r="J56" s="37"/>
    </row>
    <row r="57" spans="1:10" ht="16.5" hidden="1" customHeight="1">
      <c r="A57" s="19"/>
      <c r="B57" s="13"/>
      <c r="C57" s="13"/>
      <c r="D57" s="61"/>
      <c r="E57" s="62"/>
      <c r="F57" s="62"/>
      <c r="G57" s="14"/>
      <c r="H57" s="13"/>
      <c r="I57" s="19"/>
      <c r="J57" s="37"/>
    </row>
    <row r="58" spans="1:10" hidden="1">
      <c r="A58" s="12">
        <v>5</v>
      </c>
      <c r="B58" s="7" t="s">
        <v>143</v>
      </c>
      <c r="C58" s="7"/>
      <c r="D58" s="61"/>
      <c r="E58" s="62"/>
      <c r="F58" s="62"/>
      <c r="G58" s="14"/>
      <c r="H58" s="13"/>
      <c r="I58" s="19"/>
      <c r="J58" s="37"/>
    </row>
    <row r="59" spans="1:10" ht="16.5" hidden="1" customHeight="1">
      <c r="A59" s="39" t="s">
        <v>8</v>
      </c>
      <c r="B59" s="40" t="s">
        <v>138</v>
      </c>
      <c r="C59" s="40"/>
      <c r="D59" s="61"/>
      <c r="E59" s="62">
        <v>1000</v>
      </c>
      <c r="F59" s="62">
        <f t="shared" ref="F59:F64" si="3">0.001*D59*E59</f>
        <v>0</v>
      </c>
      <c r="G59" s="14"/>
      <c r="H59" s="13" t="s">
        <v>10</v>
      </c>
      <c r="I59" s="19"/>
      <c r="J59" s="37"/>
    </row>
    <row r="60" spans="1:10" ht="16.5" hidden="1" customHeight="1">
      <c r="A60" s="39" t="s">
        <v>11</v>
      </c>
      <c r="B60" s="23" t="s">
        <v>17</v>
      </c>
      <c r="C60" s="23" t="s">
        <v>18</v>
      </c>
      <c r="D60" s="61"/>
      <c r="E60" s="62">
        <v>5</v>
      </c>
      <c r="F60" s="62">
        <f t="shared" si="3"/>
        <v>0</v>
      </c>
      <c r="G60" s="14"/>
      <c r="H60" s="13" t="s">
        <v>139</v>
      </c>
      <c r="I60" s="19"/>
      <c r="J60" s="37"/>
    </row>
    <row r="61" spans="1:10" ht="16.5" hidden="1" customHeight="1">
      <c r="A61" s="19" t="s">
        <v>13</v>
      </c>
      <c r="B61" s="41" t="s">
        <v>140</v>
      </c>
      <c r="C61" s="40" t="s">
        <v>15</v>
      </c>
      <c r="D61" s="61"/>
      <c r="E61" s="62">
        <v>6201</v>
      </c>
      <c r="F61" s="62">
        <f t="shared" si="3"/>
        <v>0</v>
      </c>
      <c r="G61" s="14"/>
      <c r="H61" s="13" t="s">
        <v>10</v>
      </c>
      <c r="I61" s="19"/>
      <c r="J61" s="37"/>
    </row>
    <row r="62" spans="1:10" ht="16.5" hidden="1" customHeight="1">
      <c r="A62" s="19" t="s">
        <v>16</v>
      </c>
      <c r="B62" s="41" t="s">
        <v>24</v>
      </c>
      <c r="C62" s="41" t="s">
        <v>27</v>
      </c>
      <c r="D62" s="67"/>
      <c r="E62" s="62">
        <v>15</v>
      </c>
      <c r="F62" s="62">
        <f t="shared" si="3"/>
        <v>0</v>
      </c>
      <c r="G62" s="14"/>
      <c r="H62" s="13" t="s">
        <v>139</v>
      </c>
      <c r="I62" s="19"/>
      <c r="J62" s="37"/>
    </row>
    <row r="63" spans="1:10" hidden="1">
      <c r="A63" s="19" t="s">
        <v>19</v>
      </c>
      <c r="B63" s="41" t="s">
        <v>141</v>
      </c>
      <c r="C63" s="41" t="s">
        <v>27</v>
      </c>
      <c r="D63" s="67"/>
      <c r="E63" s="62">
        <v>40</v>
      </c>
      <c r="F63" s="62">
        <f t="shared" si="3"/>
        <v>0</v>
      </c>
      <c r="G63" s="14"/>
      <c r="H63" s="13" t="s">
        <v>139</v>
      </c>
      <c r="I63" s="19"/>
      <c r="J63" s="37"/>
    </row>
    <row r="64" spans="1:10" ht="16.5" hidden="1" customHeight="1">
      <c r="A64" s="26" t="s">
        <v>21</v>
      </c>
      <c r="B64" s="27" t="s">
        <v>20</v>
      </c>
      <c r="C64" s="27"/>
      <c r="D64" s="63"/>
      <c r="E64" s="64"/>
      <c r="F64" s="64">
        <f t="shared" si="3"/>
        <v>0</v>
      </c>
      <c r="G64" s="29"/>
      <c r="H64" s="28"/>
      <c r="I64" s="19"/>
      <c r="J64" s="37"/>
    </row>
    <row r="65" spans="1:10" ht="16.5" hidden="1" customHeight="1">
      <c r="A65" s="19" t="s">
        <v>35</v>
      </c>
      <c r="B65" s="21" t="s">
        <v>144</v>
      </c>
      <c r="C65" s="21"/>
      <c r="D65" s="61"/>
      <c r="E65" s="62"/>
      <c r="F65" s="62">
        <f>SUM(F59:F64)</f>
        <v>0</v>
      </c>
      <c r="G65" s="14"/>
      <c r="H65" s="13"/>
      <c r="I65" s="19"/>
      <c r="J65" s="37"/>
    </row>
    <row r="66" spans="1:10" ht="16.5" hidden="1" customHeight="1">
      <c r="A66" s="19"/>
      <c r="B66" s="13"/>
      <c r="C66" s="13"/>
      <c r="D66" s="61"/>
      <c r="E66" s="62"/>
      <c r="F66" s="62"/>
      <c r="G66" s="14"/>
      <c r="H66" s="13"/>
      <c r="I66" s="19"/>
      <c r="J66" s="37"/>
    </row>
    <row r="67" spans="1:10" ht="16.5" hidden="1" customHeight="1">
      <c r="A67" s="12">
        <v>7</v>
      </c>
      <c r="B67" s="7" t="s">
        <v>145</v>
      </c>
      <c r="C67" s="7"/>
      <c r="D67" s="61"/>
      <c r="E67" s="62"/>
      <c r="F67" s="62"/>
      <c r="G67" s="14"/>
      <c r="H67" s="13"/>
      <c r="I67" s="19"/>
      <c r="J67" s="37"/>
    </row>
    <row r="68" spans="1:10" ht="16.5" hidden="1" customHeight="1">
      <c r="A68" s="19" t="s">
        <v>8</v>
      </c>
      <c r="B68" s="41" t="s">
        <v>140</v>
      </c>
      <c r="C68" s="41" t="s">
        <v>15</v>
      </c>
      <c r="D68" s="61"/>
      <c r="E68" s="62">
        <v>6200</v>
      </c>
      <c r="F68" s="62">
        <f>0.001*D68*E68</f>
        <v>0</v>
      </c>
      <c r="G68" s="14"/>
      <c r="H68" s="13" t="s">
        <v>10</v>
      </c>
      <c r="I68" s="19"/>
      <c r="J68" s="37"/>
    </row>
    <row r="69" spans="1:10" ht="16.5" hidden="1" customHeight="1">
      <c r="A69" s="19" t="s">
        <v>11</v>
      </c>
      <c r="B69" s="40" t="s">
        <v>24</v>
      </c>
      <c r="C69" s="40" t="s">
        <v>27</v>
      </c>
      <c r="D69" s="67"/>
      <c r="E69" s="62">
        <v>20</v>
      </c>
      <c r="F69" s="62">
        <f>0.001*D69*E69</f>
        <v>0</v>
      </c>
      <c r="G69" s="14"/>
      <c r="H69" s="13" t="s">
        <v>146</v>
      </c>
      <c r="I69" s="19"/>
      <c r="J69" s="37"/>
    </row>
    <row r="70" spans="1:10" hidden="1">
      <c r="A70" s="19" t="s">
        <v>13</v>
      </c>
      <c r="B70" s="20" t="s">
        <v>147</v>
      </c>
      <c r="C70" s="20" t="s">
        <v>27</v>
      </c>
      <c r="D70" s="67"/>
      <c r="E70" s="62">
        <v>40</v>
      </c>
      <c r="F70" s="62">
        <f>0.001*D70*E70</f>
        <v>0</v>
      </c>
      <c r="G70" s="14"/>
      <c r="H70" s="13" t="s">
        <v>146</v>
      </c>
      <c r="I70" s="19"/>
      <c r="J70" s="37"/>
    </row>
    <row r="71" spans="1:10" ht="16.5" hidden="1" customHeight="1">
      <c r="A71" s="19" t="s">
        <v>16</v>
      </c>
      <c r="B71" s="20" t="s">
        <v>57</v>
      </c>
      <c r="C71" s="20" t="s">
        <v>27</v>
      </c>
      <c r="D71" s="61"/>
      <c r="E71" s="62">
        <v>450</v>
      </c>
      <c r="F71" s="62">
        <f>0.001*D71*E71</f>
        <v>0</v>
      </c>
      <c r="G71" s="14"/>
      <c r="H71" s="13" t="s">
        <v>10</v>
      </c>
      <c r="I71" s="19"/>
      <c r="J71" s="37"/>
    </row>
    <row r="72" spans="1:10" ht="16.5" hidden="1" customHeight="1">
      <c r="A72" s="26" t="s">
        <v>16</v>
      </c>
      <c r="B72" s="27" t="s">
        <v>20</v>
      </c>
      <c r="C72" s="27"/>
      <c r="D72" s="63"/>
      <c r="E72" s="64"/>
      <c r="F72" s="64">
        <f>0.001*D72*E72</f>
        <v>0</v>
      </c>
      <c r="G72" s="29"/>
      <c r="H72" s="28"/>
      <c r="I72" s="19"/>
      <c r="J72" s="37"/>
    </row>
    <row r="73" spans="1:10" ht="16.5" hidden="1" customHeight="1">
      <c r="A73" s="19" t="s">
        <v>19</v>
      </c>
      <c r="B73" s="39" t="s">
        <v>148</v>
      </c>
      <c r="C73" s="19"/>
      <c r="D73" s="61"/>
      <c r="E73" s="62"/>
      <c r="F73" s="62">
        <f>SUM(F68:F72)</f>
        <v>0</v>
      </c>
      <c r="G73" s="14"/>
      <c r="H73" s="13"/>
      <c r="I73" s="19"/>
      <c r="J73" s="37"/>
    </row>
    <row r="74" spans="1:10" ht="16.5" customHeight="1">
      <c r="A74" s="19"/>
      <c r="B74" s="13"/>
      <c r="C74" s="13"/>
      <c r="D74" s="61"/>
      <c r="E74" s="62"/>
      <c r="F74" s="62"/>
      <c r="G74" s="14"/>
      <c r="H74" s="13"/>
      <c r="I74" s="19"/>
      <c r="J74" s="37"/>
    </row>
    <row r="75" spans="1:10" ht="16.5" customHeight="1">
      <c r="A75" s="12">
        <v>8</v>
      </c>
      <c r="B75" s="7" t="s">
        <v>58</v>
      </c>
      <c r="C75" s="7"/>
      <c r="D75" s="61"/>
      <c r="E75" s="62"/>
      <c r="F75" s="62"/>
      <c r="G75" s="14"/>
      <c r="H75" s="13"/>
      <c r="I75" s="19"/>
      <c r="J75" s="37"/>
    </row>
    <row r="76" spans="1:10" ht="16.5" customHeight="1">
      <c r="A76" s="19" t="s">
        <v>8</v>
      </c>
      <c r="B76" s="23" t="s">
        <v>163</v>
      </c>
      <c r="C76" s="20"/>
      <c r="D76" s="61">
        <v>1</v>
      </c>
      <c r="E76" s="239">
        <v>20000</v>
      </c>
      <c r="F76" s="239">
        <f t="shared" ref="F76:F81" si="4">0.001*D76*E76</f>
        <v>20</v>
      </c>
      <c r="G76" s="240"/>
      <c r="H76" s="142" t="s">
        <v>10</v>
      </c>
      <c r="I76" s="19"/>
      <c r="J76" s="37"/>
    </row>
    <row r="77" spans="1:10" ht="16.5" customHeight="1">
      <c r="A77" s="19" t="s">
        <v>11</v>
      </c>
      <c r="B77" s="20" t="s">
        <v>59</v>
      </c>
      <c r="C77" s="20"/>
      <c r="D77" s="191">
        <v>0</v>
      </c>
      <c r="E77" s="239">
        <v>20000</v>
      </c>
      <c r="F77" s="239">
        <f t="shared" si="4"/>
        <v>0</v>
      </c>
      <c r="G77" s="240"/>
      <c r="H77" s="142" t="s">
        <v>245</v>
      </c>
      <c r="I77" s="19"/>
      <c r="J77" s="37"/>
    </row>
    <row r="78" spans="1:10" ht="16.5" customHeight="1">
      <c r="A78" s="19" t="s">
        <v>13</v>
      </c>
      <c r="B78" s="20" t="s">
        <v>60</v>
      </c>
      <c r="C78" s="20"/>
      <c r="D78" s="61">
        <v>0</v>
      </c>
      <c r="E78" s="62">
        <v>5000</v>
      </c>
      <c r="F78" s="62">
        <f t="shared" si="4"/>
        <v>0</v>
      </c>
      <c r="G78" s="14"/>
      <c r="H78" s="142" t="s">
        <v>378</v>
      </c>
      <c r="I78" s="19"/>
      <c r="J78" s="37"/>
    </row>
    <row r="79" spans="1:10" ht="16.5" customHeight="1">
      <c r="A79" s="39" t="s">
        <v>16</v>
      </c>
      <c r="B79" s="23" t="s">
        <v>61</v>
      </c>
      <c r="C79" s="23" t="s">
        <v>15</v>
      </c>
      <c r="D79" s="191">
        <v>0.5</v>
      </c>
      <c r="E79" s="239">
        <v>60000</v>
      </c>
      <c r="F79" s="239">
        <f t="shared" si="4"/>
        <v>30</v>
      </c>
      <c r="G79" s="240"/>
      <c r="H79" s="142" t="s">
        <v>10</v>
      </c>
      <c r="I79" s="19"/>
      <c r="J79" s="37"/>
    </row>
    <row r="80" spans="1:10" ht="16.5" customHeight="1">
      <c r="A80" s="39" t="s">
        <v>19</v>
      </c>
      <c r="B80" s="20" t="s">
        <v>62</v>
      </c>
      <c r="C80" s="20"/>
      <c r="D80" s="61">
        <v>1</v>
      </c>
      <c r="E80" s="62">
        <v>20000</v>
      </c>
      <c r="F80" s="62">
        <f t="shared" si="4"/>
        <v>20</v>
      </c>
      <c r="G80" s="14"/>
      <c r="H80" s="13" t="s">
        <v>10</v>
      </c>
      <c r="I80" s="19"/>
      <c r="J80" s="37"/>
    </row>
    <row r="81" spans="1:10" ht="16.5" customHeight="1">
      <c r="A81" s="42" t="s">
        <v>21</v>
      </c>
      <c r="B81" s="27" t="s">
        <v>149</v>
      </c>
      <c r="C81" s="27"/>
      <c r="D81" s="63">
        <v>1</v>
      </c>
      <c r="E81" s="64">
        <v>7500</v>
      </c>
      <c r="F81" s="64">
        <f t="shared" si="4"/>
        <v>7.5</v>
      </c>
      <c r="G81" s="29"/>
      <c r="H81" s="28" t="s">
        <v>10</v>
      </c>
      <c r="I81" s="19"/>
      <c r="J81" s="37"/>
    </row>
    <row r="82" spans="1:10" ht="16.5" customHeight="1">
      <c r="A82" s="39" t="s">
        <v>35</v>
      </c>
      <c r="B82" s="39" t="s">
        <v>63</v>
      </c>
      <c r="C82" s="13"/>
      <c r="D82" s="61"/>
      <c r="E82" s="62"/>
      <c r="F82" s="62">
        <f>SUM(F76:F81)</f>
        <v>77.5</v>
      </c>
      <c r="G82" s="14"/>
      <c r="H82" s="13"/>
      <c r="I82" s="19"/>
      <c r="J82" s="37"/>
    </row>
    <row r="83" spans="1:10" ht="16.5" customHeight="1">
      <c r="A83" s="19"/>
      <c r="B83" s="13"/>
      <c r="C83" s="13"/>
      <c r="D83" s="61"/>
      <c r="E83" s="62"/>
      <c r="F83" s="62"/>
      <c r="G83" s="14"/>
      <c r="H83" s="13"/>
      <c r="I83" s="19"/>
      <c r="J83" s="37"/>
    </row>
    <row r="84" spans="1:10" ht="16.5" customHeight="1">
      <c r="A84" s="12">
        <v>9</v>
      </c>
      <c r="B84" s="7" t="s">
        <v>247</v>
      </c>
      <c r="C84" s="7"/>
      <c r="D84" s="61"/>
      <c r="E84" s="62"/>
      <c r="F84" s="62"/>
      <c r="G84" s="14"/>
      <c r="H84" s="13"/>
      <c r="I84" s="19"/>
      <c r="J84" s="37"/>
    </row>
    <row r="85" spans="1:10" ht="16.5" customHeight="1">
      <c r="A85" s="19" t="s">
        <v>8</v>
      </c>
      <c r="B85" s="172" t="s">
        <v>248</v>
      </c>
      <c r="C85" s="41" t="s">
        <v>64</v>
      </c>
      <c r="D85" s="191">
        <v>2</v>
      </c>
      <c r="E85" s="239">
        <v>50000</v>
      </c>
      <c r="F85" s="239">
        <f t="shared" ref="F85:F90" si="5">0.001*D85*E85</f>
        <v>100</v>
      </c>
      <c r="G85" s="240"/>
      <c r="H85" s="142" t="s">
        <v>10</v>
      </c>
      <c r="I85" s="19"/>
      <c r="J85" s="37"/>
    </row>
    <row r="86" spans="1:10" ht="16.5" customHeight="1">
      <c r="A86" s="19" t="s">
        <v>11</v>
      </c>
      <c r="B86" s="41" t="s">
        <v>65</v>
      </c>
      <c r="C86" s="41" t="s">
        <v>64</v>
      </c>
      <c r="D86" s="191">
        <v>0.5</v>
      </c>
      <c r="E86" s="239">
        <v>75000</v>
      </c>
      <c r="F86" s="239">
        <f t="shared" si="5"/>
        <v>37.5</v>
      </c>
      <c r="G86" s="240"/>
      <c r="H86" s="142" t="s">
        <v>10</v>
      </c>
      <c r="I86" s="19"/>
      <c r="J86" s="37"/>
    </row>
    <row r="87" spans="1:10" ht="16.5" customHeight="1">
      <c r="A87" s="19" t="s">
        <v>13</v>
      </c>
      <c r="B87" s="172" t="s">
        <v>249</v>
      </c>
      <c r="C87" s="41"/>
      <c r="D87" s="191">
        <v>1</v>
      </c>
      <c r="E87" s="239">
        <v>50000</v>
      </c>
      <c r="F87" s="239">
        <f t="shared" si="5"/>
        <v>50</v>
      </c>
      <c r="G87" s="240"/>
      <c r="H87" s="142" t="s">
        <v>10</v>
      </c>
      <c r="I87" s="19"/>
      <c r="J87" s="37"/>
    </row>
    <row r="88" spans="1:10">
      <c r="A88" s="19" t="s">
        <v>16</v>
      </c>
      <c r="B88" s="172" t="s">
        <v>250</v>
      </c>
      <c r="C88" s="41"/>
      <c r="D88" s="191">
        <v>1</v>
      </c>
      <c r="E88" s="239">
        <v>25000</v>
      </c>
      <c r="F88" s="239">
        <f t="shared" si="5"/>
        <v>25</v>
      </c>
      <c r="G88" s="240"/>
      <c r="H88" s="142" t="s">
        <v>10</v>
      </c>
      <c r="I88" s="19"/>
      <c r="J88" s="37"/>
    </row>
    <row r="89" spans="1:10" ht="16.5" customHeight="1">
      <c r="A89" s="19" t="s">
        <v>19</v>
      </c>
      <c r="B89" s="41" t="s">
        <v>66</v>
      </c>
      <c r="C89" s="41"/>
      <c r="D89" s="191">
        <v>1</v>
      </c>
      <c r="E89" s="239">
        <v>25000</v>
      </c>
      <c r="F89" s="239">
        <f t="shared" si="5"/>
        <v>25</v>
      </c>
      <c r="G89" s="240"/>
      <c r="H89" s="142" t="s">
        <v>10</v>
      </c>
      <c r="I89" s="19"/>
      <c r="J89" s="37"/>
    </row>
    <row r="90" spans="1:10" ht="16.5" customHeight="1">
      <c r="A90" s="26" t="s">
        <v>21</v>
      </c>
      <c r="B90" s="192" t="s">
        <v>251</v>
      </c>
      <c r="C90" s="27"/>
      <c r="D90" s="184">
        <v>1</v>
      </c>
      <c r="E90" s="242">
        <v>50000</v>
      </c>
      <c r="F90" s="242">
        <f t="shared" si="5"/>
        <v>50</v>
      </c>
      <c r="G90" s="243"/>
      <c r="H90" s="238" t="s">
        <v>273</v>
      </c>
      <c r="I90" s="19"/>
      <c r="J90" s="37"/>
    </row>
    <row r="91" spans="1:10" ht="16.5" customHeight="1">
      <c r="A91" s="19" t="s">
        <v>35</v>
      </c>
      <c r="B91" s="185" t="s">
        <v>322</v>
      </c>
      <c r="C91" s="21"/>
      <c r="D91" s="61"/>
      <c r="E91" s="62"/>
      <c r="F91" s="62">
        <f>SUM(F85:F90)</f>
        <v>287.5</v>
      </c>
      <c r="G91" s="14"/>
      <c r="H91" s="13"/>
      <c r="I91" s="19"/>
      <c r="J91" s="37"/>
    </row>
    <row r="92" spans="1:10" ht="16.5" customHeight="1">
      <c r="A92" s="19"/>
      <c r="B92" s="13"/>
      <c r="C92" s="13"/>
      <c r="D92" s="61"/>
      <c r="E92" s="62"/>
      <c r="F92" s="62"/>
      <c r="G92" s="14"/>
      <c r="H92" s="13"/>
      <c r="I92" s="19"/>
      <c r="J92" s="37"/>
    </row>
    <row r="93" spans="1:10" ht="16.5" customHeight="1">
      <c r="A93" s="12">
        <v>10</v>
      </c>
      <c r="B93" s="7" t="s">
        <v>67</v>
      </c>
      <c r="C93" s="7"/>
      <c r="D93" s="61"/>
      <c r="E93" s="62"/>
      <c r="F93" s="62"/>
      <c r="G93" s="14"/>
      <c r="H93" s="13"/>
      <c r="I93" s="19"/>
      <c r="J93" s="37"/>
    </row>
    <row r="94" spans="1:10" ht="16.5" customHeight="1">
      <c r="A94" s="19" t="s">
        <v>8</v>
      </c>
      <c r="B94" s="41" t="s">
        <v>68</v>
      </c>
      <c r="C94" s="41"/>
      <c r="D94" s="69">
        <v>1</v>
      </c>
      <c r="E94" s="66">
        <v>5000</v>
      </c>
      <c r="F94" s="62">
        <f>0.001*D94*E94</f>
        <v>5</v>
      </c>
      <c r="G94" s="14"/>
      <c r="H94" s="13" t="s">
        <v>10</v>
      </c>
      <c r="I94" s="19"/>
      <c r="J94" s="37"/>
    </row>
    <row r="95" spans="1:10">
      <c r="A95" s="19" t="s">
        <v>11</v>
      </c>
      <c r="B95" s="41" t="s">
        <v>69</v>
      </c>
      <c r="C95" s="41"/>
      <c r="D95" s="246">
        <v>1</v>
      </c>
      <c r="E95" s="247"/>
      <c r="F95" s="239">
        <f>0.001*D95*E95</f>
        <v>0</v>
      </c>
      <c r="G95" s="240"/>
      <c r="H95" s="176"/>
      <c r="I95" s="19"/>
      <c r="J95" s="37"/>
    </row>
    <row r="96" spans="1:10" ht="16.5" customHeight="1">
      <c r="A96" s="19" t="s">
        <v>13</v>
      </c>
      <c r="B96" s="41" t="s">
        <v>70</v>
      </c>
      <c r="C96" s="41"/>
      <c r="D96" s="69">
        <v>1</v>
      </c>
      <c r="E96" s="66">
        <v>5000</v>
      </c>
      <c r="F96" s="62">
        <f>0.001*D96*E96</f>
        <v>5</v>
      </c>
      <c r="G96" s="14"/>
      <c r="H96" s="13" t="s">
        <v>10</v>
      </c>
      <c r="I96" s="19"/>
      <c r="J96" s="37"/>
    </row>
    <row r="97" spans="1:10" ht="15.75" customHeight="1">
      <c r="A97" s="19" t="s">
        <v>16</v>
      </c>
      <c r="B97" s="41" t="s">
        <v>71</v>
      </c>
      <c r="C97" s="41"/>
      <c r="D97" s="69">
        <v>1</v>
      </c>
      <c r="E97" s="66">
        <v>10000</v>
      </c>
      <c r="F97" s="62">
        <f>0.001*D97*E97</f>
        <v>10</v>
      </c>
      <c r="G97" s="14"/>
      <c r="H97" s="13" t="s">
        <v>10</v>
      </c>
      <c r="I97" s="19"/>
      <c r="J97" s="37"/>
    </row>
    <row r="98" spans="1:10" ht="16.5" customHeight="1">
      <c r="A98" s="26" t="s">
        <v>19</v>
      </c>
      <c r="B98" s="27" t="s">
        <v>20</v>
      </c>
      <c r="C98" s="27"/>
      <c r="D98" s="63"/>
      <c r="E98" s="64"/>
      <c r="F98" s="64">
        <f>0.001*D98*E98</f>
        <v>0</v>
      </c>
      <c r="G98" s="29"/>
      <c r="H98" s="28"/>
      <c r="I98" s="19"/>
      <c r="J98" s="37"/>
    </row>
    <row r="99" spans="1:10" ht="16.5" customHeight="1">
      <c r="A99" s="19" t="s">
        <v>21</v>
      </c>
      <c r="B99" s="39" t="s">
        <v>72</v>
      </c>
      <c r="C99" s="39"/>
      <c r="D99" s="61"/>
      <c r="E99" s="62"/>
      <c r="F99" s="62">
        <f>SUM(F94:F98)</f>
        <v>20</v>
      </c>
      <c r="G99" s="14"/>
      <c r="H99" s="13"/>
      <c r="I99" s="19"/>
      <c r="J99" s="37"/>
    </row>
    <row r="100" spans="1:10" ht="16.5" customHeight="1">
      <c r="A100" s="13"/>
      <c r="B100" s="13"/>
      <c r="C100" s="13"/>
      <c r="D100" s="61"/>
      <c r="E100" s="62"/>
      <c r="F100" s="62"/>
      <c r="G100" s="14"/>
      <c r="H100" s="13"/>
      <c r="I100" s="19"/>
      <c r="J100" s="37"/>
    </row>
    <row r="101" spans="1:10" ht="16.5" customHeight="1">
      <c r="A101" s="12">
        <v>11</v>
      </c>
      <c r="B101" s="7" t="s">
        <v>73</v>
      </c>
      <c r="C101" s="7"/>
      <c r="D101" s="61"/>
      <c r="E101" s="62"/>
      <c r="F101" s="62"/>
      <c r="G101" s="14"/>
      <c r="H101" s="13"/>
      <c r="I101" s="19"/>
      <c r="J101" s="37"/>
    </row>
    <row r="102" spans="1:10" ht="16.5" customHeight="1">
      <c r="A102" s="19" t="s">
        <v>8</v>
      </c>
      <c r="B102" s="20" t="s">
        <v>14</v>
      </c>
      <c r="C102" s="20" t="s">
        <v>15</v>
      </c>
      <c r="D102" s="191">
        <v>0.5</v>
      </c>
      <c r="E102" s="239">
        <v>8000</v>
      </c>
      <c r="F102" s="239">
        <f>0.001*D102*E102</f>
        <v>4</v>
      </c>
      <c r="G102" s="240"/>
      <c r="H102" s="142" t="s">
        <v>10</v>
      </c>
      <c r="I102" s="19"/>
      <c r="J102" s="37"/>
    </row>
    <row r="103" spans="1:10" ht="16.5" customHeight="1">
      <c r="A103" s="19" t="s">
        <v>11</v>
      </c>
      <c r="B103" s="20" t="s">
        <v>74</v>
      </c>
      <c r="C103" s="20"/>
      <c r="D103" s="191">
        <v>1</v>
      </c>
      <c r="E103" s="239">
        <f>'Interconnect Costs'!K6</f>
        <v>52000</v>
      </c>
      <c r="F103" s="239">
        <f>0.001*D103*E103</f>
        <v>52</v>
      </c>
      <c r="G103" s="240"/>
      <c r="H103" s="142" t="s">
        <v>274</v>
      </c>
      <c r="I103" s="19"/>
      <c r="J103" s="37"/>
    </row>
    <row r="104" spans="1:10" ht="16.5" customHeight="1">
      <c r="A104" s="19" t="s">
        <v>13</v>
      </c>
      <c r="B104" s="20" t="s">
        <v>75</v>
      </c>
      <c r="C104" s="20"/>
      <c r="D104" s="191">
        <v>1</v>
      </c>
      <c r="E104" s="239">
        <v>10000</v>
      </c>
      <c r="F104" s="239">
        <f>0.001*D104*E104</f>
        <v>10</v>
      </c>
      <c r="G104" s="240"/>
      <c r="H104" s="142" t="s">
        <v>10</v>
      </c>
      <c r="I104" s="19"/>
      <c r="J104" s="37"/>
    </row>
    <row r="105" spans="1:10" ht="31.5" customHeight="1">
      <c r="A105" s="19" t="s">
        <v>13</v>
      </c>
      <c r="B105" s="20" t="s">
        <v>76</v>
      </c>
      <c r="C105" s="20"/>
      <c r="D105" s="191">
        <v>1</v>
      </c>
      <c r="E105" s="239">
        <v>50000</v>
      </c>
      <c r="F105" s="239">
        <f>0.001*D105*E105</f>
        <v>50</v>
      </c>
      <c r="G105" s="240"/>
      <c r="H105" s="142" t="s">
        <v>267</v>
      </c>
      <c r="I105" s="19"/>
      <c r="J105" s="37"/>
    </row>
    <row r="106" spans="1:10" ht="16.5" customHeight="1">
      <c r="A106" s="26" t="s">
        <v>16</v>
      </c>
      <c r="B106" s="192" t="s">
        <v>248</v>
      </c>
      <c r="C106" s="27"/>
      <c r="D106" s="184">
        <v>1</v>
      </c>
      <c r="E106" s="242">
        <v>20000</v>
      </c>
      <c r="F106" s="242">
        <f>0.001*D106*E106</f>
        <v>20</v>
      </c>
      <c r="G106" s="243"/>
      <c r="H106" s="238" t="s">
        <v>10</v>
      </c>
      <c r="I106" s="19"/>
      <c r="J106" s="37"/>
    </row>
    <row r="107" spans="1:10">
      <c r="A107" s="19" t="s">
        <v>21</v>
      </c>
      <c r="B107" s="19" t="s">
        <v>77</v>
      </c>
      <c r="C107" s="19"/>
      <c r="D107" s="191"/>
      <c r="E107" s="239"/>
      <c r="F107" s="239">
        <f>SUM(F102:F106)</f>
        <v>136</v>
      </c>
      <c r="G107" s="240"/>
      <c r="H107" s="142"/>
      <c r="I107" s="19"/>
      <c r="J107" s="37"/>
    </row>
    <row r="108" spans="1:10" ht="16.5" customHeight="1">
      <c r="A108" s="13"/>
      <c r="B108" s="13"/>
      <c r="C108" s="13"/>
      <c r="D108" s="61"/>
      <c r="E108" s="62"/>
      <c r="F108" s="62"/>
      <c r="G108" s="14"/>
      <c r="H108" s="13"/>
      <c r="I108" s="19"/>
      <c r="J108" s="37"/>
    </row>
    <row r="109" spans="1:10" ht="16.5" customHeight="1">
      <c r="A109" s="12">
        <v>12</v>
      </c>
      <c r="B109" s="7" t="s">
        <v>78</v>
      </c>
      <c r="C109" s="7"/>
      <c r="D109" s="61"/>
      <c r="E109" s="62"/>
      <c r="F109" s="62"/>
      <c r="G109" s="14"/>
      <c r="H109" s="13"/>
      <c r="I109" s="19"/>
      <c r="J109" s="37"/>
    </row>
    <row r="110" spans="1:10" ht="16.5" customHeight="1">
      <c r="A110" s="19" t="s">
        <v>8</v>
      </c>
      <c r="B110" s="20" t="s">
        <v>79</v>
      </c>
      <c r="C110" s="20"/>
      <c r="D110" s="61">
        <v>1</v>
      </c>
      <c r="E110" s="62">
        <f>F130*1000*0.08</f>
        <v>194305.22693264927</v>
      </c>
      <c r="F110" s="62">
        <f t="shared" ref="F110:F115" si="6">0.001*D110*E110</f>
        <v>194.30522693264928</v>
      </c>
      <c r="G110" s="14"/>
      <c r="H110" s="36" t="s">
        <v>164</v>
      </c>
      <c r="I110" s="19"/>
      <c r="J110" s="37"/>
    </row>
    <row r="111" spans="1:10">
      <c r="A111" s="19" t="s">
        <v>11</v>
      </c>
      <c r="B111" s="20" t="s">
        <v>80</v>
      </c>
      <c r="C111" s="20"/>
      <c r="D111" s="61">
        <v>1</v>
      </c>
      <c r="E111" s="62">
        <v>25000</v>
      </c>
      <c r="F111" s="62">
        <f t="shared" si="6"/>
        <v>25</v>
      </c>
      <c r="G111" s="14"/>
      <c r="H111" s="13" t="s">
        <v>10</v>
      </c>
      <c r="I111" s="19"/>
      <c r="J111" s="37"/>
    </row>
    <row r="112" spans="1:10" ht="16.5" customHeight="1">
      <c r="A112" s="19" t="s">
        <v>13</v>
      </c>
      <c r="B112" s="20" t="s">
        <v>81</v>
      </c>
      <c r="C112" s="20"/>
      <c r="D112" s="61">
        <v>1</v>
      </c>
      <c r="E112" s="62">
        <v>20000</v>
      </c>
      <c r="F112" s="62">
        <f t="shared" si="6"/>
        <v>20</v>
      </c>
      <c r="G112" s="14"/>
      <c r="H112" s="13" t="s">
        <v>82</v>
      </c>
      <c r="I112" s="19"/>
      <c r="J112" s="37"/>
    </row>
    <row r="113" spans="1:10" ht="16.5" customHeight="1">
      <c r="A113" s="19" t="s">
        <v>16</v>
      </c>
      <c r="B113" s="20" t="s">
        <v>83</v>
      </c>
      <c r="C113" s="20"/>
      <c r="D113" s="61">
        <v>1</v>
      </c>
      <c r="E113" s="62">
        <v>35000</v>
      </c>
      <c r="F113" s="62">
        <f t="shared" si="6"/>
        <v>35</v>
      </c>
      <c r="G113" s="14"/>
      <c r="H113" s="13" t="s">
        <v>91</v>
      </c>
      <c r="I113" s="19"/>
      <c r="J113" s="37"/>
    </row>
    <row r="114" spans="1:10">
      <c r="A114" s="19" t="s">
        <v>19</v>
      </c>
      <c r="B114" s="20" t="s">
        <v>84</v>
      </c>
      <c r="C114" s="20"/>
      <c r="D114" s="61">
        <v>1</v>
      </c>
      <c r="E114" s="62">
        <v>100000</v>
      </c>
      <c r="F114" s="62">
        <f t="shared" si="6"/>
        <v>100</v>
      </c>
      <c r="G114" s="14"/>
      <c r="H114" s="13" t="s">
        <v>10</v>
      </c>
      <c r="I114" s="19"/>
      <c r="J114" s="37"/>
    </row>
    <row r="115" spans="1:10" ht="16.5" customHeight="1">
      <c r="A115" s="26" t="s">
        <v>21</v>
      </c>
      <c r="B115" s="27" t="s">
        <v>20</v>
      </c>
      <c r="C115" s="27"/>
      <c r="D115" s="63"/>
      <c r="E115" s="64"/>
      <c r="F115" s="64">
        <f t="shared" si="6"/>
        <v>0</v>
      </c>
      <c r="G115" s="29"/>
      <c r="H115" s="28"/>
      <c r="I115" s="19"/>
      <c r="J115" s="37"/>
    </row>
    <row r="116" spans="1:10" ht="16.5" customHeight="1">
      <c r="A116" s="19" t="s">
        <v>35</v>
      </c>
      <c r="B116" s="19" t="s">
        <v>85</v>
      </c>
      <c r="C116" s="19"/>
      <c r="D116" s="61"/>
      <c r="E116" s="62"/>
      <c r="F116" s="62">
        <f>SUM(F110:F115)</f>
        <v>374.30522693264925</v>
      </c>
      <c r="G116" s="14"/>
      <c r="H116" s="13"/>
      <c r="I116" s="19"/>
      <c r="J116" s="37"/>
    </row>
    <row r="117" spans="1:10" ht="16.5" customHeight="1">
      <c r="A117" s="13"/>
      <c r="B117" s="13"/>
      <c r="C117" s="13"/>
      <c r="D117" s="61"/>
      <c r="E117" s="62"/>
      <c r="F117" s="62"/>
      <c r="G117" s="14"/>
      <c r="H117" s="13"/>
      <c r="I117" s="19"/>
      <c r="J117" s="37"/>
    </row>
    <row r="118" spans="1:10" ht="16.5" customHeight="1">
      <c r="A118" s="12"/>
      <c r="B118" s="7" t="s">
        <v>86</v>
      </c>
      <c r="C118" s="7"/>
      <c r="D118" s="61"/>
      <c r="E118" s="62"/>
      <c r="F118" s="62"/>
      <c r="G118" s="14"/>
      <c r="H118" s="13"/>
      <c r="I118" s="19"/>
      <c r="J118" s="37"/>
    </row>
    <row r="119" spans="1:10" ht="16.5" customHeight="1">
      <c r="A119" s="12">
        <f>A$2</f>
        <v>1</v>
      </c>
      <c r="B119" s="13" t="str">
        <f>B$2</f>
        <v>General</v>
      </c>
      <c r="C119" s="13"/>
      <c r="D119" s="61"/>
      <c r="E119" s="62"/>
      <c r="F119" s="62">
        <f>F$8</f>
        <v>90</v>
      </c>
      <c r="G119" s="14"/>
      <c r="H119" s="13"/>
      <c r="I119" s="19"/>
      <c r="J119" s="37"/>
    </row>
    <row r="120" spans="1:10" ht="16.5" customHeight="1">
      <c r="A120" s="12">
        <f>A$10</f>
        <v>2</v>
      </c>
      <c r="B120" s="13" t="str">
        <f>B$10</f>
        <v>Powerhouse/Intake</v>
      </c>
      <c r="C120" s="13"/>
      <c r="D120" s="61"/>
      <c r="E120" s="62"/>
      <c r="F120" s="62">
        <f>F$30</f>
        <v>837.58602465811578</v>
      </c>
      <c r="G120" s="14"/>
      <c r="H120" s="13"/>
      <c r="I120" s="19"/>
      <c r="J120" s="37"/>
    </row>
    <row r="121" spans="1:10" ht="16.5" customHeight="1">
      <c r="A121" s="12">
        <f>A$32</f>
        <v>3</v>
      </c>
      <c r="B121" s="13" t="str">
        <f>B$32</f>
        <v>Equipment</v>
      </c>
      <c r="C121" s="13"/>
      <c r="D121" s="61"/>
      <c r="E121" s="62"/>
      <c r="F121" s="62">
        <f>F$39</f>
        <v>980.22931200000005</v>
      </c>
      <c r="G121" s="14"/>
      <c r="H121" s="13"/>
      <c r="I121" s="19"/>
      <c r="J121" s="37"/>
    </row>
    <row r="122" spans="1:10" ht="16.5" hidden="1" customHeight="1">
      <c r="A122" s="43">
        <f>A$41</f>
        <v>4</v>
      </c>
      <c r="B122" s="11" t="str">
        <f>B$41</f>
        <v xml:space="preserve">Spillway </v>
      </c>
      <c r="E122" s="66"/>
      <c r="F122" s="66">
        <f>F$47</f>
        <v>0</v>
      </c>
      <c r="G122" s="44"/>
      <c r="I122" s="19"/>
      <c r="J122" s="37"/>
    </row>
    <row r="123" spans="1:10" ht="16.5" hidden="1" customHeight="1">
      <c r="A123" s="43">
        <f>A$49</f>
        <v>5</v>
      </c>
      <c r="B123" s="11" t="str">
        <f>B$49</f>
        <v>East (left) Dike</v>
      </c>
      <c r="E123" s="66"/>
      <c r="F123" s="66">
        <f>F$56</f>
        <v>0</v>
      </c>
      <c r="G123" s="33"/>
      <c r="I123" s="19"/>
      <c r="J123" s="37"/>
    </row>
    <row r="124" spans="1:10" ht="16.5" hidden="1" customHeight="1">
      <c r="A124" s="43">
        <f>A$58</f>
        <v>5</v>
      </c>
      <c r="B124" s="11" t="str">
        <f>B$58</f>
        <v>West (right) Dike</v>
      </c>
      <c r="E124" s="66"/>
      <c r="F124" s="66">
        <f>F$65</f>
        <v>0</v>
      </c>
      <c r="G124" s="33"/>
      <c r="I124" s="19"/>
      <c r="J124" s="37"/>
    </row>
    <row r="125" spans="1:10" ht="16.5" hidden="1" customHeight="1">
      <c r="A125" s="43">
        <f>A$67</f>
        <v>7</v>
      </c>
      <c r="B125" s="11" t="str">
        <f>B$67</f>
        <v>Canal</v>
      </c>
      <c r="E125" s="66"/>
      <c r="F125" s="66">
        <f>F$73</f>
        <v>0</v>
      </c>
      <c r="G125" s="33"/>
      <c r="I125" s="19"/>
      <c r="J125" s="37"/>
    </row>
    <row r="126" spans="1:10" ht="16.5" customHeight="1">
      <c r="A126" s="43">
        <f>A$75</f>
        <v>8</v>
      </c>
      <c r="B126" s="11" t="str">
        <f>B$75</f>
        <v>PM&amp;E Measures</v>
      </c>
      <c r="E126" s="66"/>
      <c r="F126" s="66">
        <f>F$82</f>
        <v>77.5</v>
      </c>
      <c r="G126" s="33"/>
      <c r="I126" s="19"/>
      <c r="J126" s="37"/>
    </row>
    <row r="127" spans="1:10" ht="16.5" customHeight="1">
      <c r="A127" s="43">
        <f>A$84</f>
        <v>9</v>
      </c>
      <c r="B127" s="176" t="s">
        <v>247</v>
      </c>
      <c r="E127" s="66"/>
      <c r="F127" s="66">
        <f>F$91</f>
        <v>287.5</v>
      </c>
      <c r="G127" s="33"/>
      <c r="I127" s="19"/>
      <c r="J127" s="37"/>
    </row>
    <row r="128" spans="1:10" ht="16.5" customHeight="1">
      <c r="A128" s="43">
        <f>A$93</f>
        <v>10</v>
      </c>
      <c r="B128" s="11" t="str">
        <f>B$93</f>
        <v>Land &amp; Land Rights</v>
      </c>
      <c r="E128" s="66"/>
      <c r="F128" s="66">
        <f>F$99</f>
        <v>20</v>
      </c>
      <c r="G128" s="33"/>
      <c r="I128" s="19"/>
      <c r="J128" s="37"/>
    </row>
    <row r="129" spans="1:10" ht="16.5" customHeight="1">
      <c r="A129" s="45">
        <f>A$101</f>
        <v>11</v>
      </c>
      <c r="B129" s="46" t="str">
        <f>B$101</f>
        <v>Interconnection</v>
      </c>
      <c r="C129" s="46"/>
      <c r="D129" s="70"/>
      <c r="E129" s="71"/>
      <c r="F129" s="71">
        <f>F$107</f>
        <v>136</v>
      </c>
      <c r="G129" s="47"/>
      <c r="H129" s="46"/>
      <c r="I129" s="19"/>
      <c r="J129" s="37"/>
    </row>
    <row r="130" spans="1:10" ht="16.5" customHeight="1">
      <c r="A130" s="43"/>
      <c r="B130" s="48" t="s">
        <v>87</v>
      </c>
      <c r="C130" s="48"/>
      <c r="E130" s="66"/>
      <c r="F130" s="66">
        <f>SUM(F119:F129)</f>
        <v>2428.8153366581159</v>
      </c>
      <c r="G130" s="33"/>
      <c r="I130" s="19"/>
      <c r="J130" s="37"/>
    </row>
    <row r="131" spans="1:10" ht="16.5" customHeight="1">
      <c r="A131" s="43"/>
      <c r="B131" s="48"/>
      <c r="C131" s="48"/>
      <c r="E131" s="66"/>
      <c r="F131" s="66"/>
      <c r="G131" s="33"/>
      <c r="I131" s="19"/>
      <c r="J131" s="37"/>
    </row>
    <row r="132" spans="1:10" ht="16.5" customHeight="1">
      <c r="A132" s="45">
        <f>A$109</f>
        <v>12</v>
      </c>
      <c r="B132" s="46" t="str">
        <f>B$109</f>
        <v>Indirect Costs</v>
      </c>
      <c r="C132" s="46"/>
      <c r="D132" s="70"/>
      <c r="E132" s="71"/>
      <c r="F132" s="71">
        <f>F$116</f>
        <v>374.30522693264925</v>
      </c>
      <c r="G132" s="47"/>
      <c r="H132" s="46"/>
      <c r="I132" s="19"/>
      <c r="J132" s="37"/>
    </row>
    <row r="133" spans="1:10" ht="16.5" customHeight="1">
      <c r="A133" s="43"/>
      <c r="B133" s="48" t="s">
        <v>88</v>
      </c>
      <c r="C133" s="48"/>
      <c r="E133" s="66"/>
      <c r="F133" s="72">
        <f>F$130+F$132</f>
        <v>2803.1205635907654</v>
      </c>
      <c r="G133" s="49"/>
      <c r="I133" s="19"/>
      <c r="J133" s="37"/>
    </row>
    <row r="134" spans="1:10" ht="16.5" customHeight="1">
      <c r="A134" s="43"/>
      <c r="B134" s="48"/>
      <c r="C134" s="48"/>
      <c r="E134" s="66"/>
      <c r="F134" s="72"/>
      <c r="G134" s="49"/>
      <c r="I134" s="19"/>
      <c r="J134" s="37"/>
    </row>
    <row r="135" spans="1:10" ht="16.5" customHeight="1">
      <c r="A135" s="45">
        <v>13</v>
      </c>
      <c r="B135" s="46" t="s">
        <v>89</v>
      </c>
      <c r="C135" s="46"/>
      <c r="D135" s="73">
        <f>F$133*1000</f>
        <v>2803120.5635907655</v>
      </c>
      <c r="E135" s="245">
        <v>0.2</v>
      </c>
      <c r="F135" s="71">
        <f>D135*E135*0.001</f>
        <v>560.62411271815313</v>
      </c>
      <c r="G135" s="47"/>
      <c r="H135" s="46"/>
      <c r="I135" s="19"/>
      <c r="J135" s="37"/>
    </row>
    <row r="136" spans="1:10" ht="16.5" customHeight="1">
      <c r="E136" s="66"/>
      <c r="F136" s="66"/>
      <c r="G136" s="33"/>
      <c r="I136" s="19"/>
      <c r="J136" s="37"/>
    </row>
    <row r="137" spans="1:10" ht="16.5" customHeight="1">
      <c r="A137" s="12"/>
      <c r="B137" s="50" t="s">
        <v>90</v>
      </c>
      <c r="C137" s="7"/>
      <c r="D137" s="61"/>
      <c r="E137" s="62"/>
      <c r="F137" s="60">
        <f>F$133+F$135</f>
        <v>3363.7446763089183</v>
      </c>
      <c r="G137" s="8"/>
      <c r="H137" s="13"/>
      <c r="I137" s="19"/>
      <c r="J137" s="37"/>
    </row>
    <row r="138" spans="1:10">
      <c r="I138" s="19"/>
      <c r="J138" s="37"/>
    </row>
    <row r="139" spans="1:10">
      <c r="I139" s="19"/>
      <c r="J139" s="37"/>
    </row>
    <row r="140" spans="1:10">
      <c r="I140" s="19"/>
      <c r="J140" s="37"/>
    </row>
    <row r="141" spans="1:10">
      <c r="I141" s="19"/>
      <c r="J141" s="37"/>
    </row>
    <row r="142" spans="1:10">
      <c r="I142" s="19"/>
      <c r="J142" s="37"/>
    </row>
    <row r="143" spans="1:10">
      <c r="I143" s="19"/>
      <c r="J143" s="37"/>
    </row>
    <row r="144" spans="1:10">
      <c r="I144" s="19"/>
      <c r="J144" s="37"/>
    </row>
    <row r="145" spans="9:10">
      <c r="I145" s="19"/>
      <c r="J145" s="37"/>
    </row>
    <row r="146" spans="9:10">
      <c r="I146" s="19"/>
      <c r="J146" s="37"/>
    </row>
    <row r="147" spans="9:10">
      <c r="I147" s="19"/>
      <c r="J147" s="37"/>
    </row>
    <row r="148" spans="9:10">
      <c r="I148" s="19"/>
      <c r="J148" s="37"/>
    </row>
    <row r="149" spans="9:10">
      <c r="I149" s="19"/>
      <c r="J149" s="37"/>
    </row>
    <row r="150" spans="9:10">
      <c r="I150" s="19"/>
      <c r="J150" s="37"/>
    </row>
    <row r="151" spans="9:10">
      <c r="I151" s="19"/>
      <c r="J151" s="37"/>
    </row>
    <row r="152" spans="9:10">
      <c r="I152" s="19"/>
      <c r="J152" s="37"/>
    </row>
    <row r="153" spans="9:10">
      <c r="I153" s="19"/>
      <c r="J153" s="37"/>
    </row>
    <row r="154" spans="9:10">
      <c r="I154" s="19"/>
      <c r="J154" s="37"/>
    </row>
    <row r="155" spans="9:10">
      <c r="I155" s="19"/>
      <c r="J155" s="37"/>
    </row>
    <row r="156" spans="9:10">
      <c r="I156" s="19"/>
      <c r="J156" s="37"/>
    </row>
    <row r="157" spans="9:10">
      <c r="I157" s="19"/>
      <c r="J157" s="37"/>
    </row>
    <row r="158" spans="9:10">
      <c r="I158" s="19"/>
      <c r="J158" s="37"/>
    </row>
    <row r="159" spans="9:10">
      <c r="I159" s="19"/>
      <c r="J159" s="37"/>
    </row>
    <row r="160" spans="9:10">
      <c r="I160" s="19"/>
      <c r="J160" s="37"/>
    </row>
    <row r="161" spans="9:10">
      <c r="I161" s="19"/>
      <c r="J161" s="37"/>
    </row>
    <row r="162" spans="9:10">
      <c r="I162" s="19"/>
      <c r="J162" s="37"/>
    </row>
    <row r="163" spans="9:10">
      <c r="I163" s="19"/>
      <c r="J163" s="37"/>
    </row>
    <row r="164" spans="9:10">
      <c r="I164" s="19"/>
      <c r="J164" s="37"/>
    </row>
    <row r="165" spans="9:10">
      <c r="I165" s="19"/>
      <c r="J165" s="37"/>
    </row>
    <row r="166" spans="9:10">
      <c r="I166" s="19"/>
      <c r="J166" s="37"/>
    </row>
    <row r="167" spans="9:10">
      <c r="I167" s="19"/>
      <c r="J167" s="37"/>
    </row>
    <row r="168" spans="9:10">
      <c r="I168" s="19"/>
      <c r="J168" s="37"/>
    </row>
    <row r="169" spans="9:10">
      <c r="I169" s="19"/>
      <c r="J169" s="37"/>
    </row>
    <row r="170" spans="9:10">
      <c r="I170" s="19"/>
      <c r="J170" s="37"/>
    </row>
    <row r="171" spans="9:10">
      <c r="I171" s="19"/>
      <c r="J171" s="37"/>
    </row>
    <row r="172" spans="9:10">
      <c r="I172" s="19"/>
      <c r="J172" s="37"/>
    </row>
    <row r="173" spans="9:10">
      <c r="I173" s="19"/>
      <c r="J173" s="37"/>
    </row>
    <row r="174" spans="9:10">
      <c r="I174" s="19"/>
      <c r="J174" s="37"/>
    </row>
  </sheetData>
  <mergeCells count="1">
    <mergeCell ref="L3:S11"/>
  </mergeCells>
  <conditionalFormatting sqref="I24:N65536 I3:I5 I17:I22 N12:N22 I7:I15 K18:L22 M20:M22 K3:K5 K8:K15 L12:M15">
    <cfRule type="cellIs" dxfId="15" priority="1" stopIfTrue="1" operator="equal">
      <formula>0</formula>
    </cfRule>
  </conditionalFormatting>
  <printOptions horizontalCentered="1" gridLines="1"/>
  <pageMargins left="0.75" right="0.75" top="0.63" bottom="0.63" header="0.32" footer="0.45"/>
  <pageSetup scale="61" fitToHeight="2" orientation="portrait" r:id="rId1"/>
  <headerFooter alignWithMargins="0">
    <oddHeader>&amp;L&amp;"Arial,Bold Italic"&amp;11&amp;A&amp;C&amp;"Arial,Bold Italic"&amp;11Ten Mile River Hydro
Phase I Feasibility Study&amp;R&amp;"Arial,Bold Italic"&amp;11For Planning Purposes Only</oddHeader>
    <oddFooter>&amp;L&amp;F&amp;R&amp;G</oddFooter>
  </headerFooter>
  <rowBreaks count="1" manualBreakCount="1">
    <brk id="92" max="7" man="1"/>
  </rowBreaks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5"/>
  </sheetPr>
  <dimension ref="A1:S174"/>
  <sheetViews>
    <sheetView view="pageBreakPreview" zoomScale="75" zoomScaleNormal="100" zoomScaleSheetLayoutView="75" workbookViewId="0">
      <selection activeCell="H79" sqref="H79"/>
    </sheetView>
  </sheetViews>
  <sheetFormatPr defaultRowHeight="12.75"/>
  <cols>
    <col min="1" max="1" width="4.85546875" style="11" customWidth="1"/>
    <col min="2" max="2" width="32.5703125" style="11" customWidth="1"/>
    <col min="3" max="3" width="9.140625" style="11"/>
    <col min="4" max="4" width="12.42578125" style="69" customWidth="1"/>
    <col min="5" max="5" width="9.42578125" style="69" customWidth="1"/>
    <col min="6" max="6" width="12.85546875" style="69" customWidth="1"/>
    <col min="7" max="7" width="3.140625" style="11" customWidth="1"/>
    <col min="8" max="8" width="60.7109375" style="11" customWidth="1"/>
    <col min="9" max="9" width="4.85546875" style="11" customWidth="1"/>
    <col min="10" max="10" width="12.28515625" style="51" customWidth="1"/>
    <col min="11" max="11" width="12.42578125" style="10" customWidth="1"/>
    <col min="12" max="12" width="12.5703125" style="10" customWidth="1"/>
    <col min="13" max="14" width="9.140625" style="10"/>
    <col min="15" max="16384" width="9.140625" style="11"/>
  </cols>
  <sheetData>
    <row r="1" spans="1:19" ht="25.5">
      <c r="A1" s="7" t="s">
        <v>0</v>
      </c>
      <c r="B1" s="7" t="s">
        <v>1</v>
      </c>
      <c r="C1" s="7" t="s">
        <v>2</v>
      </c>
      <c r="D1" s="12" t="s">
        <v>3</v>
      </c>
      <c r="E1" s="60" t="s">
        <v>4</v>
      </c>
      <c r="F1" s="60" t="s">
        <v>5</v>
      </c>
      <c r="G1" s="8"/>
      <c r="H1" s="7" t="s">
        <v>6</v>
      </c>
      <c r="I1" s="7"/>
      <c r="J1" s="9"/>
      <c r="L1" s="10" t="s">
        <v>270</v>
      </c>
    </row>
    <row r="2" spans="1:19" ht="16.5" customHeight="1">
      <c r="A2" s="12">
        <v>1</v>
      </c>
      <c r="B2" s="7" t="s">
        <v>7</v>
      </c>
      <c r="C2" s="7"/>
      <c r="D2" s="61"/>
      <c r="E2" s="62"/>
      <c r="F2" s="62"/>
      <c r="G2" s="14"/>
      <c r="H2" s="13"/>
      <c r="I2" s="15"/>
      <c r="J2" s="16"/>
      <c r="K2" s="170"/>
      <c r="L2" s="141" t="s">
        <v>228</v>
      </c>
      <c r="M2" s="17"/>
      <c r="N2" s="17"/>
      <c r="O2" s="18"/>
      <c r="P2" s="18"/>
    </row>
    <row r="3" spans="1:19" ht="16.5" customHeight="1">
      <c r="A3" s="19" t="s">
        <v>8</v>
      </c>
      <c r="B3" s="20" t="s">
        <v>9</v>
      </c>
      <c r="C3" s="20"/>
      <c r="D3" s="61">
        <v>1</v>
      </c>
      <c r="E3" s="62">
        <v>25000</v>
      </c>
      <c r="F3" s="62">
        <f>0.001*D3*E3</f>
        <v>25</v>
      </c>
      <c r="G3" s="14"/>
      <c r="H3" s="13" t="s">
        <v>10</v>
      </c>
      <c r="I3" s="21"/>
      <c r="J3" s="22"/>
      <c r="L3" s="374" t="s">
        <v>296</v>
      </c>
      <c r="M3" s="374"/>
      <c r="N3" s="374"/>
      <c r="O3" s="374"/>
      <c r="P3" s="374"/>
      <c r="Q3" s="374"/>
      <c r="R3" s="374"/>
      <c r="S3" s="374"/>
    </row>
    <row r="4" spans="1:19" ht="16.5" customHeight="1">
      <c r="A4" s="19" t="s">
        <v>11</v>
      </c>
      <c r="B4" s="20" t="s">
        <v>12</v>
      </c>
      <c r="C4" s="20"/>
      <c r="D4" s="61">
        <v>1</v>
      </c>
      <c r="E4" s="62">
        <v>10000</v>
      </c>
      <c r="F4" s="62">
        <f>0.001*D4*E4</f>
        <v>10</v>
      </c>
      <c r="G4" s="14"/>
      <c r="H4" s="13" t="s">
        <v>10</v>
      </c>
      <c r="I4" s="21"/>
      <c r="J4" s="22"/>
      <c r="K4" s="140"/>
      <c r="L4" s="374"/>
      <c r="M4" s="374"/>
      <c r="N4" s="374"/>
      <c r="O4" s="374"/>
      <c r="P4" s="374"/>
      <c r="Q4" s="374"/>
      <c r="R4" s="374"/>
      <c r="S4" s="374"/>
    </row>
    <row r="5" spans="1:19" ht="18.75" customHeight="1">
      <c r="A5" s="19" t="s">
        <v>13</v>
      </c>
      <c r="B5" s="23" t="s">
        <v>14</v>
      </c>
      <c r="C5" s="23" t="s">
        <v>15</v>
      </c>
      <c r="D5" s="61">
        <v>4</v>
      </c>
      <c r="E5" s="62">
        <v>6200</v>
      </c>
      <c r="F5" s="62">
        <f>0.001*D5*E5</f>
        <v>24.8</v>
      </c>
      <c r="G5" s="14"/>
      <c r="H5" s="142" t="s">
        <v>285</v>
      </c>
      <c r="I5" s="21"/>
      <c r="J5" s="22"/>
      <c r="K5" s="17"/>
      <c r="L5" s="374"/>
      <c r="M5" s="374"/>
      <c r="N5" s="374"/>
      <c r="O5" s="374"/>
      <c r="P5" s="374"/>
      <c r="Q5" s="374"/>
      <c r="R5" s="374"/>
      <c r="S5" s="374"/>
    </row>
    <row r="6" spans="1:19" ht="16.5" customHeight="1">
      <c r="A6" s="19" t="s">
        <v>16</v>
      </c>
      <c r="B6" s="23" t="s">
        <v>17</v>
      </c>
      <c r="C6" s="23" t="s">
        <v>18</v>
      </c>
      <c r="D6" s="61">
        <v>2000</v>
      </c>
      <c r="E6" s="62">
        <v>10</v>
      </c>
      <c r="F6" s="62">
        <f>0.001*D6*E6</f>
        <v>20</v>
      </c>
      <c r="G6" s="14"/>
      <c r="H6" s="142" t="s">
        <v>285</v>
      </c>
      <c r="I6" s="18"/>
      <c r="J6" s="24"/>
      <c r="K6" s="25"/>
      <c r="L6" s="374"/>
      <c r="M6" s="374"/>
      <c r="N6" s="374"/>
      <c r="O6" s="374"/>
      <c r="P6" s="374"/>
      <c r="Q6" s="374"/>
      <c r="R6" s="374"/>
      <c r="S6" s="374"/>
    </row>
    <row r="7" spans="1:19" ht="16.5" customHeight="1">
      <c r="A7" s="26" t="s">
        <v>19</v>
      </c>
      <c r="B7" s="27" t="s">
        <v>151</v>
      </c>
      <c r="C7" s="27"/>
      <c r="D7" s="184">
        <v>1</v>
      </c>
      <c r="E7" s="64">
        <f>'Phase I Dam Repairs'!D3*1000</f>
        <v>50000</v>
      </c>
      <c r="F7" s="64">
        <f>0.001*D7*E7</f>
        <v>50</v>
      </c>
      <c r="G7" s="29"/>
      <c r="H7" s="238" t="s">
        <v>286</v>
      </c>
      <c r="I7" s="21"/>
      <c r="J7" s="22"/>
      <c r="K7" s="30"/>
      <c r="L7" s="374"/>
      <c r="M7" s="374"/>
      <c r="N7" s="374"/>
      <c r="O7" s="374"/>
      <c r="P7" s="374"/>
      <c r="Q7" s="374"/>
      <c r="R7" s="374"/>
      <c r="S7" s="374"/>
    </row>
    <row r="8" spans="1:19" ht="16.5" customHeight="1">
      <c r="A8" s="19" t="s">
        <v>21</v>
      </c>
      <c r="B8" s="19" t="s">
        <v>22</v>
      </c>
      <c r="C8" s="19"/>
      <c r="D8" s="61"/>
      <c r="E8" s="62"/>
      <c r="F8" s="62">
        <f>SUM(F2:F7)</f>
        <v>129.80000000000001</v>
      </c>
      <c r="G8" s="14"/>
      <c r="H8" s="13"/>
      <c r="I8" s="21"/>
      <c r="J8" s="22"/>
      <c r="K8" s="31"/>
      <c r="L8" s="374"/>
      <c r="M8" s="374"/>
      <c r="N8" s="374"/>
      <c r="O8" s="374"/>
      <c r="P8" s="374"/>
      <c r="Q8" s="374"/>
      <c r="R8" s="374"/>
      <c r="S8" s="374"/>
    </row>
    <row r="9" spans="1:19" ht="16.5" customHeight="1">
      <c r="A9" s="19"/>
      <c r="B9" s="13"/>
      <c r="C9" s="13"/>
      <c r="D9" s="61"/>
      <c r="E9" s="62"/>
      <c r="F9" s="62"/>
      <c r="G9" s="14"/>
      <c r="H9" s="13"/>
      <c r="I9" s="21"/>
      <c r="J9" s="22"/>
      <c r="K9" s="31"/>
      <c r="L9" s="374"/>
      <c r="M9" s="374"/>
      <c r="N9" s="374"/>
      <c r="O9" s="374"/>
      <c r="P9" s="374"/>
      <c r="Q9" s="374"/>
      <c r="R9" s="374"/>
      <c r="S9" s="374"/>
    </row>
    <row r="10" spans="1:19" ht="16.5" customHeight="1">
      <c r="A10" s="12">
        <v>2</v>
      </c>
      <c r="B10" s="7" t="s">
        <v>130</v>
      </c>
      <c r="C10" s="7"/>
      <c r="D10" s="65"/>
      <c r="E10" s="62"/>
      <c r="F10" s="62"/>
      <c r="G10" s="14"/>
      <c r="H10" s="13"/>
      <c r="I10" s="21"/>
      <c r="J10" s="22"/>
      <c r="K10" s="31"/>
      <c r="L10" s="374"/>
      <c r="M10" s="374"/>
      <c r="N10" s="374"/>
      <c r="O10" s="374"/>
      <c r="P10" s="374"/>
      <c r="Q10" s="374"/>
      <c r="R10" s="374"/>
      <c r="S10" s="374"/>
    </row>
    <row r="11" spans="1:19" ht="16.5" customHeight="1">
      <c r="A11" s="19" t="s">
        <v>8</v>
      </c>
      <c r="B11" s="20" t="s">
        <v>114</v>
      </c>
      <c r="C11" s="32"/>
      <c r="D11" s="66"/>
      <c r="E11" s="62"/>
      <c r="F11" s="62">
        <v>100</v>
      </c>
      <c r="G11" s="14"/>
      <c r="H11" s="13" t="s">
        <v>10</v>
      </c>
      <c r="I11" s="21"/>
      <c r="J11" s="22"/>
      <c r="K11" s="31"/>
      <c r="L11" s="374"/>
      <c r="M11" s="374"/>
      <c r="N11" s="374"/>
      <c r="O11" s="374"/>
      <c r="P11" s="374"/>
      <c r="Q11" s="374"/>
      <c r="R11" s="374"/>
      <c r="S11" s="374"/>
    </row>
    <row r="12" spans="1:19" ht="16.5" customHeight="1">
      <c r="A12" s="19" t="s">
        <v>11</v>
      </c>
      <c r="B12" s="194" t="s">
        <v>376</v>
      </c>
      <c r="C12" s="32"/>
      <c r="D12" s="66"/>
      <c r="E12" s="62"/>
      <c r="F12" s="62">
        <v>10</v>
      </c>
      <c r="G12" s="14"/>
      <c r="H12" s="13" t="s">
        <v>10</v>
      </c>
      <c r="I12" s="21"/>
      <c r="J12" s="22"/>
      <c r="K12" s="31"/>
      <c r="L12" s="31"/>
      <c r="M12" s="31"/>
      <c r="N12" s="17"/>
      <c r="O12" s="18"/>
      <c r="P12" s="18"/>
    </row>
    <row r="13" spans="1:19" ht="16.5" customHeight="1">
      <c r="A13" s="19" t="s">
        <v>13</v>
      </c>
      <c r="B13" s="194" t="s">
        <v>318</v>
      </c>
      <c r="C13" s="20"/>
      <c r="D13" s="66">
        <v>1</v>
      </c>
      <c r="E13" s="260">
        <f>'Pwrhse Cost Estimator'!D27</f>
        <v>576263.54526932142</v>
      </c>
      <c r="F13" s="62">
        <f t="shared" ref="F13:F29" si="0">0.001*D13*E13</f>
        <v>576.26354526932141</v>
      </c>
      <c r="G13" s="14"/>
      <c r="H13" s="142" t="s">
        <v>377</v>
      </c>
      <c r="I13" s="21"/>
      <c r="J13" s="22"/>
      <c r="K13" s="31"/>
      <c r="L13" s="31"/>
      <c r="M13" s="31"/>
      <c r="N13" s="17"/>
      <c r="O13" s="18"/>
      <c r="P13" s="18"/>
    </row>
    <row r="14" spans="1:19" ht="16.5" hidden="1" customHeight="1">
      <c r="A14" s="19" t="s">
        <v>25</v>
      </c>
      <c r="B14" s="34" t="s">
        <v>26</v>
      </c>
      <c r="C14" s="23" t="s">
        <v>27</v>
      </c>
      <c r="D14" s="189">
        <v>0</v>
      </c>
      <c r="E14" s="186">
        <v>100</v>
      </c>
      <c r="F14" s="186">
        <f t="shared" si="0"/>
        <v>0</v>
      </c>
      <c r="G14" s="187"/>
      <c r="H14" s="188" t="s">
        <v>156</v>
      </c>
      <c r="I14" s="21"/>
      <c r="J14" s="22"/>
      <c r="K14" s="17"/>
      <c r="L14" s="17"/>
      <c r="M14" s="17"/>
      <c r="N14" s="17"/>
      <c r="O14" s="18"/>
      <c r="P14" s="18"/>
    </row>
    <row r="15" spans="1:19" ht="27.75" hidden="1" customHeight="1">
      <c r="A15" s="19" t="s">
        <v>28</v>
      </c>
      <c r="B15" s="35" t="s">
        <v>29</v>
      </c>
      <c r="C15" s="23" t="s">
        <v>27</v>
      </c>
      <c r="D15" s="190">
        <v>0</v>
      </c>
      <c r="E15" s="186">
        <v>100</v>
      </c>
      <c r="F15" s="186">
        <f t="shared" si="0"/>
        <v>0</v>
      </c>
      <c r="G15" s="187"/>
      <c r="H15" s="188" t="s">
        <v>156</v>
      </c>
      <c r="I15" s="21"/>
      <c r="J15" s="22"/>
      <c r="K15" s="17"/>
      <c r="L15" s="17"/>
      <c r="M15" s="17"/>
      <c r="N15" s="17"/>
      <c r="O15" s="18"/>
      <c r="P15" s="18"/>
    </row>
    <row r="16" spans="1:19" ht="16.5" hidden="1" customHeight="1">
      <c r="A16" s="19" t="s">
        <v>30</v>
      </c>
      <c r="B16" s="35" t="s">
        <v>31</v>
      </c>
      <c r="C16" s="23" t="s">
        <v>27</v>
      </c>
      <c r="D16" s="190">
        <v>0</v>
      </c>
      <c r="E16" s="186">
        <v>100</v>
      </c>
      <c r="F16" s="186">
        <f t="shared" si="0"/>
        <v>0</v>
      </c>
      <c r="G16" s="187"/>
      <c r="H16" s="188" t="s">
        <v>156</v>
      </c>
      <c r="I16" s="18"/>
      <c r="J16" s="24"/>
      <c r="K16" s="25"/>
      <c r="L16" s="25"/>
      <c r="M16" s="25"/>
      <c r="N16" s="17"/>
      <c r="O16" s="18"/>
      <c r="P16" s="18"/>
    </row>
    <row r="17" spans="1:16" ht="16.5" hidden="1" customHeight="1">
      <c r="A17" s="21" t="s">
        <v>16</v>
      </c>
      <c r="B17" s="23" t="s">
        <v>32</v>
      </c>
      <c r="C17" s="23"/>
      <c r="D17" s="190">
        <v>0</v>
      </c>
      <c r="E17" s="186">
        <v>10000</v>
      </c>
      <c r="F17" s="186">
        <f t="shared" si="0"/>
        <v>0</v>
      </c>
      <c r="G17" s="187"/>
      <c r="H17" s="188" t="s">
        <v>10</v>
      </c>
      <c r="I17" s="21"/>
      <c r="J17" s="22"/>
      <c r="K17" s="30"/>
      <c r="L17" s="30"/>
      <c r="M17" s="30"/>
      <c r="N17" s="17"/>
      <c r="O17" s="18"/>
      <c r="P17" s="18"/>
    </row>
    <row r="18" spans="1:16" ht="16.5" hidden="1" customHeight="1">
      <c r="A18" s="19" t="s">
        <v>19</v>
      </c>
      <c r="B18" s="23" t="s">
        <v>33</v>
      </c>
      <c r="C18" s="23" t="s">
        <v>34</v>
      </c>
      <c r="D18" s="190">
        <v>0</v>
      </c>
      <c r="E18" s="186">
        <v>1000</v>
      </c>
      <c r="F18" s="186">
        <f t="shared" si="0"/>
        <v>0</v>
      </c>
      <c r="G18" s="187"/>
      <c r="H18" s="188" t="s">
        <v>156</v>
      </c>
      <c r="I18" s="21"/>
      <c r="J18" s="22"/>
      <c r="K18" s="31"/>
      <c r="L18" s="31"/>
      <c r="M18" s="30"/>
      <c r="N18" s="17"/>
      <c r="O18" s="18"/>
      <c r="P18" s="18"/>
    </row>
    <row r="19" spans="1:16" ht="16.5" hidden="1" customHeight="1">
      <c r="A19" s="19" t="s">
        <v>21</v>
      </c>
      <c r="B19" s="23" t="s">
        <v>57</v>
      </c>
      <c r="C19" s="23" t="s">
        <v>27</v>
      </c>
      <c r="D19" s="190">
        <v>0</v>
      </c>
      <c r="E19" s="186">
        <v>750</v>
      </c>
      <c r="F19" s="186">
        <f t="shared" si="0"/>
        <v>0</v>
      </c>
      <c r="G19" s="187"/>
      <c r="H19" s="188" t="s">
        <v>10</v>
      </c>
      <c r="I19" s="21"/>
      <c r="J19" s="22"/>
      <c r="K19" s="31"/>
      <c r="L19" s="31"/>
      <c r="M19" s="30"/>
      <c r="N19" s="17"/>
      <c r="O19" s="18"/>
      <c r="P19" s="18"/>
    </row>
    <row r="20" spans="1:16" ht="16.5" hidden="1" customHeight="1">
      <c r="A20" s="19" t="s">
        <v>35</v>
      </c>
      <c r="B20" s="23" t="s">
        <v>124</v>
      </c>
      <c r="C20" s="23" t="s">
        <v>23</v>
      </c>
      <c r="D20" s="190">
        <v>0</v>
      </c>
      <c r="E20" s="186">
        <v>100</v>
      </c>
      <c r="F20" s="186">
        <f t="shared" si="0"/>
        <v>0</v>
      </c>
      <c r="G20" s="187"/>
      <c r="H20" s="188" t="s">
        <v>157</v>
      </c>
      <c r="I20" s="21"/>
      <c r="J20" s="22"/>
      <c r="K20" s="31"/>
      <c r="L20" s="31"/>
      <c r="M20" s="31"/>
      <c r="N20" s="17"/>
      <c r="O20" s="18"/>
      <c r="P20" s="18"/>
    </row>
    <row r="21" spans="1:16" ht="16.5" hidden="1" customHeight="1">
      <c r="A21" s="19" t="s">
        <v>36</v>
      </c>
      <c r="B21" s="20" t="s">
        <v>37</v>
      </c>
      <c r="C21" s="32" t="s">
        <v>23</v>
      </c>
      <c r="D21" s="189">
        <v>0</v>
      </c>
      <c r="E21" s="186">
        <v>400</v>
      </c>
      <c r="F21" s="186">
        <f t="shared" si="0"/>
        <v>0</v>
      </c>
      <c r="G21" s="187"/>
      <c r="H21" s="188" t="s">
        <v>158</v>
      </c>
      <c r="I21" s="21"/>
      <c r="J21" s="22"/>
      <c r="K21" s="31"/>
      <c r="L21" s="31"/>
      <c r="M21" s="31"/>
      <c r="N21" s="17"/>
      <c r="O21" s="18"/>
      <c r="P21" s="18"/>
    </row>
    <row r="22" spans="1:16" ht="16.5" hidden="1" customHeight="1">
      <c r="A22" s="19" t="s">
        <v>25</v>
      </c>
      <c r="B22" s="20" t="s">
        <v>38</v>
      </c>
      <c r="C22" s="32"/>
      <c r="D22" s="66">
        <v>0</v>
      </c>
      <c r="E22" s="62">
        <v>150000</v>
      </c>
      <c r="F22" s="62">
        <f t="shared" si="0"/>
        <v>0</v>
      </c>
      <c r="G22" s="14"/>
      <c r="H22" s="36" t="s">
        <v>159</v>
      </c>
      <c r="I22" s="21"/>
      <c r="J22" s="22"/>
      <c r="K22" s="31"/>
      <c r="L22" s="31"/>
      <c r="M22" s="31"/>
      <c r="N22" s="17"/>
      <c r="O22" s="18"/>
      <c r="P22" s="18"/>
    </row>
    <row r="23" spans="1:16" ht="16.5" hidden="1" customHeight="1">
      <c r="A23" s="19" t="s">
        <v>39</v>
      </c>
      <c r="B23" s="23" t="s">
        <v>160</v>
      </c>
      <c r="C23" s="20"/>
      <c r="D23" s="61">
        <v>0</v>
      </c>
      <c r="E23" s="62">
        <v>15000</v>
      </c>
      <c r="F23" s="62">
        <f t="shared" si="0"/>
        <v>0</v>
      </c>
      <c r="G23" s="14"/>
      <c r="H23" s="36" t="s">
        <v>10</v>
      </c>
      <c r="J23" s="11"/>
      <c r="K23" s="11"/>
      <c r="L23" s="11"/>
      <c r="M23" s="11"/>
      <c r="N23" s="11"/>
    </row>
    <row r="24" spans="1:16" ht="33" customHeight="1">
      <c r="A24" s="19" t="s">
        <v>40</v>
      </c>
      <c r="B24" s="194" t="s">
        <v>292</v>
      </c>
      <c r="C24" s="194" t="s">
        <v>18</v>
      </c>
      <c r="D24" s="61">
        <v>300</v>
      </c>
      <c r="E24" s="62">
        <f>'Penstock Costs'!G18</f>
        <v>444.61828589999988</v>
      </c>
      <c r="F24" s="62">
        <f t="shared" si="0"/>
        <v>133.38548576999995</v>
      </c>
      <c r="G24" s="14"/>
      <c r="H24" s="142" t="s">
        <v>362</v>
      </c>
      <c r="I24" s="19"/>
      <c r="J24" s="37"/>
    </row>
    <row r="25" spans="1:16" ht="16.5" customHeight="1">
      <c r="A25" s="19" t="s">
        <v>41</v>
      </c>
      <c r="B25" s="20" t="s">
        <v>42</v>
      </c>
      <c r="C25" s="20"/>
      <c r="D25" s="61">
        <v>1</v>
      </c>
      <c r="E25" s="62">
        <v>5000</v>
      </c>
      <c r="F25" s="62">
        <f t="shared" si="0"/>
        <v>5</v>
      </c>
      <c r="G25" s="14"/>
      <c r="H25" s="13" t="s">
        <v>10</v>
      </c>
      <c r="I25" s="19"/>
      <c r="J25" s="37"/>
    </row>
    <row r="26" spans="1:16" ht="16.5" customHeight="1">
      <c r="A26" s="19" t="s">
        <v>43</v>
      </c>
      <c r="B26" s="20" t="s">
        <v>44</v>
      </c>
      <c r="C26" s="20"/>
      <c r="D26" s="61">
        <v>1</v>
      </c>
      <c r="E26" s="239">
        <v>10000</v>
      </c>
      <c r="F26" s="239">
        <f t="shared" si="0"/>
        <v>10</v>
      </c>
      <c r="G26" s="240"/>
      <c r="H26" s="142" t="s">
        <v>10</v>
      </c>
      <c r="I26" s="19"/>
      <c r="J26" s="37"/>
    </row>
    <row r="27" spans="1:16" ht="25.5" customHeight="1">
      <c r="A27" s="19" t="s">
        <v>45</v>
      </c>
      <c r="B27" s="20" t="s">
        <v>46</v>
      </c>
      <c r="C27" s="20"/>
      <c r="D27" s="61">
        <v>1</v>
      </c>
      <c r="E27" s="239">
        <v>10000</v>
      </c>
      <c r="F27" s="239">
        <f t="shared" si="0"/>
        <v>10</v>
      </c>
      <c r="G27" s="240"/>
      <c r="H27" s="142" t="s">
        <v>10</v>
      </c>
      <c r="I27" s="19"/>
      <c r="J27" s="208"/>
    </row>
    <row r="28" spans="1:16">
      <c r="A28" s="19" t="s">
        <v>47</v>
      </c>
      <c r="B28" s="20" t="s">
        <v>48</v>
      </c>
      <c r="C28" s="20"/>
      <c r="D28" s="61">
        <v>1</v>
      </c>
      <c r="E28" s="62">
        <v>5000</v>
      </c>
      <c r="F28" s="62">
        <f t="shared" si="0"/>
        <v>5</v>
      </c>
      <c r="G28" s="14"/>
      <c r="H28" s="13" t="s">
        <v>10</v>
      </c>
      <c r="I28" s="19"/>
      <c r="J28" s="37"/>
    </row>
    <row r="29" spans="1:16" ht="16.5" customHeight="1">
      <c r="A29" s="26" t="s">
        <v>49</v>
      </c>
      <c r="B29" s="324"/>
      <c r="C29" s="324" t="s">
        <v>240</v>
      </c>
      <c r="D29" s="300"/>
      <c r="E29" s="301"/>
      <c r="F29" s="301">
        <f t="shared" si="0"/>
        <v>0</v>
      </c>
      <c r="G29" s="302"/>
      <c r="H29" s="338"/>
      <c r="I29" s="19"/>
      <c r="J29" s="37"/>
    </row>
    <row r="30" spans="1:16">
      <c r="A30" s="19" t="s">
        <v>50</v>
      </c>
      <c r="B30" s="325" t="s">
        <v>385</v>
      </c>
      <c r="C30" s="325"/>
      <c r="D30" s="330"/>
      <c r="E30" s="293"/>
      <c r="F30" s="293">
        <f>SUM(F11:F29)</f>
        <v>849.64903103932136</v>
      </c>
      <c r="G30" s="319"/>
      <c r="H30" s="307"/>
      <c r="I30" s="19"/>
      <c r="J30" s="37"/>
    </row>
    <row r="31" spans="1:16" ht="16.5" customHeight="1">
      <c r="A31" s="19"/>
      <c r="B31" s="307"/>
      <c r="C31" s="307"/>
      <c r="D31" s="330"/>
      <c r="E31" s="293"/>
      <c r="F31" s="293"/>
      <c r="G31" s="319"/>
      <c r="H31" s="307"/>
      <c r="I31" s="19"/>
      <c r="J31" s="37"/>
    </row>
    <row r="32" spans="1:16" ht="16.5" customHeight="1">
      <c r="A32" s="12">
        <v>3</v>
      </c>
      <c r="B32" s="322" t="s">
        <v>52</v>
      </c>
      <c r="C32" s="322"/>
      <c r="D32" s="330"/>
      <c r="E32" s="293"/>
      <c r="F32" s="293"/>
      <c r="G32" s="319"/>
      <c r="H32" s="307"/>
      <c r="I32" s="19"/>
      <c r="J32" s="37"/>
    </row>
    <row r="33" spans="1:10" ht="15">
      <c r="A33" s="19" t="s">
        <v>8</v>
      </c>
      <c r="B33" s="303" t="s">
        <v>319</v>
      </c>
      <c r="C33" s="303"/>
      <c r="D33" s="330">
        <v>1</v>
      </c>
      <c r="E33" s="295">
        <f>'TG Costs'!D26</f>
        <v>455226.76</v>
      </c>
      <c r="F33" s="295">
        <f t="shared" ref="F33:F38" si="1">0.001*D33*E33</f>
        <v>455.22676000000001</v>
      </c>
      <c r="G33" s="331"/>
      <c r="H33" s="329" t="s">
        <v>389</v>
      </c>
      <c r="I33" s="19"/>
      <c r="J33" s="37"/>
    </row>
    <row r="34" spans="1:10" ht="20.25" customHeight="1">
      <c r="A34" s="19" t="s">
        <v>11</v>
      </c>
      <c r="B34" s="23" t="s">
        <v>161</v>
      </c>
      <c r="C34" s="20"/>
      <c r="D34" s="61">
        <v>1</v>
      </c>
      <c r="E34" s="62">
        <f>SUM(F33,F35:F38)*1000*0.2</f>
        <v>114045.35200000001</v>
      </c>
      <c r="F34" s="62">
        <f t="shared" si="1"/>
        <v>114.04535200000002</v>
      </c>
      <c r="G34" s="14"/>
      <c r="H34" s="36" t="s">
        <v>162</v>
      </c>
      <c r="I34" s="19"/>
      <c r="J34" s="37"/>
    </row>
    <row r="35" spans="1:10" ht="16.5" customHeight="1">
      <c r="A35" s="19" t="s">
        <v>13</v>
      </c>
      <c r="B35" s="20" t="s">
        <v>53</v>
      </c>
      <c r="C35" s="20"/>
      <c r="D35" s="191">
        <v>1</v>
      </c>
      <c r="E35" s="239">
        <f>'Interconnect Costs'!K10</f>
        <v>20000</v>
      </c>
      <c r="F35" s="239">
        <f t="shared" si="1"/>
        <v>20</v>
      </c>
      <c r="G35" s="240"/>
      <c r="H35" s="241" t="s">
        <v>274</v>
      </c>
      <c r="I35" s="19"/>
      <c r="J35" s="37"/>
    </row>
    <row r="36" spans="1:10" ht="16.5" customHeight="1">
      <c r="A36" s="19" t="s">
        <v>16</v>
      </c>
      <c r="B36" s="194" t="s">
        <v>320</v>
      </c>
      <c r="C36" s="20"/>
      <c r="D36" s="191">
        <v>1</v>
      </c>
      <c r="E36" s="239">
        <v>50000</v>
      </c>
      <c r="F36" s="239">
        <f t="shared" si="1"/>
        <v>50</v>
      </c>
      <c r="G36" s="240"/>
      <c r="H36" s="142" t="s">
        <v>384</v>
      </c>
      <c r="I36" s="19"/>
      <c r="J36" s="37"/>
    </row>
    <row r="37" spans="1:10">
      <c r="A37" s="19" t="s">
        <v>19</v>
      </c>
      <c r="B37" s="20" t="s">
        <v>55</v>
      </c>
      <c r="C37" s="20"/>
      <c r="D37" s="191">
        <v>1</v>
      </c>
      <c r="E37" s="239">
        <v>20000</v>
      </c>
      <c r="F37" s="239">
        <f t="shared" si="1"/>
        <v>20</v>
      </c>
      <c r="G37" s="240"/>
      <c r="H37" s="142" t="s">
        <v>10</v>
      </c>
      <c r="I37" s="19"/>
      <c r="J37" s="37"/>
    </row>
    <row r="38" spans="1:10" ht="16.5" customHeight="1">
      <c r="A38" s="26" t="s">
        <v>21</v>
      </c>
      <c r="B38" s="192" t="s">
        <v>321</v>
      </c>
      <c r="C38" s="27"/>
      <c r="D38" s="184">
        <v>1</v>
      </c>
      <c r="E38" s="64">
        <v>25000</v>
      </c>
      <c r="F38" s="64">
        <f t="shared" si="1"/>
        <v>25</v>
      </c>
      <c r="G38" s="29"/>
      <c r="H38" s="238" t="s">
        <v>10</v>
      </c>
      <c r="I38" s="19"/>
      <c r="J38" s="37"/>
    </row>
    <row r="39" spans="1:10" ht="16.5" customHeight="1">
      <c r="A39" s="19" t="s">
        <v>35</v>
      </c>
      <c r="B39" s="19" t="s">
        <v>56</v>
      </c>
      <c r="C39" s="19"/>
      <c r="D39" s="61"/>
      <c r="E39" s="62"/>
      <c r="F39" s="62">
        <f>SUM(F33:F38)</f>
        <v>684.27211199999999</v>
      </c>
      <c r="G39" s="14"/>
      <c r="H39" s="13"/>
      <c r="I39" s="19"/>
      <c r="J39" s="37"/>
    </row>
    <row r="40" spans="1:10" ht="16.5" hidden="1" customHeight="1">
      <c r="A40" s="19"/>
      <c r="B40" s="13"/>
      <c r="C40" s="13"/>
      <c r="D40" s="61"/>
      <c r="E40" s="62"/>
      <c r="F40" s="62"/>
      <c r="G40" s="14"/>
      <c r="H40" s="13"/>
      <c r="I40" s="19"/>
      <c r="J40" s="37"/>
    </row>
    <row r="41" spans="1:10" ht="16.5" hidden="1" customHeight="1">
      <c r="A41" s="12">
        <v>4</v>
      </c>
      <c r="B41" s="7" t="s">
        <v>132</v>
      </c>
      <c r="C41" s="7"/>
      <c r="D41" s="61"/>
      <c r="E41" s="62"/>
      <c r="F41" s="62"/>
      <c r="G41" s="14"/>
      <c r="H41" s="13"/>
      <c r="I41" s="19"/>
      <c r="J41" s="37"/>
    </row>
    <row r="42" spans="1:10" ht="16.5" hidden="1" customHeight="1">
      <c r="A42" s="19" t="s">
        <v>8</v>
      </c>
      <c r="B42" s="20" t="s">
        <v>133</v>
      </c>
      <c r="C42" s="23" t="s">
        <v>23</v>
      </c>
      <c r="D42" s="61"/>
      <c r="E42" s="62">
        <v>40</v>
      </c>
      <c r="F42" s="62">
        <f>0.001*D42*E42</f>
        <v>0</v>
      </c>
      <c r="G42" s="14"/>
      <c r="H42" s="13" t="s">
        <v>10</v>
      </c>
      <c r="I42" s="19"/>
      <c r="J42" s="37"/>
    </row>
    <row r="43" spans="1:10" ht="16.5" hidden="1" customHeight="1">
      <c r="A43" s="19" t="s">
        <v>11</v>
      </c>
      <c r="B43" s="20" t="s">
        <v>24</v>
      </c>
      <c r="C43" s="23" t="s">
        <v>27</v>
      </c>
      <c r="D43" s="61"/>
      <c r="E43" s="62">
        <v>15</v>
      </c>
      <c r="F43" s="62">
        <f>0.001*D43*E43</f>
        <v>0</v>
      </c>
      <c r="G43" s="14"/>
      <c r="H43" s="13" t="s">
        <v>10</v>
      </c>
      <c r="I43" s="19"/>
      <c r="J43" s="37"/>
    </row>
    <row r="44" spans="1:10" ht="16.5" hidden="1" customHeight="1">
      <c r="A44" s="19" t="s">
        <v>13</v>
      </c>
      <c r="B44" s="20" t="s">
        <v>134</v>
      </c>
      <c r="C44" s="23" t="s">
        <v>27</v>
      </c>
      <c r="D44" s="61"/>
      <c r="E44" s="62">
        <v>450</v>
      </c>
      <c r="F44" s="62">
        <f>0.001*D44*E44</f>
        <v>0</v>
      </c>
      <c r="G44" s="14"/>
      <c r="H44" s="13" t="s">
        <v>10</v>
      </c>
      <c r="I44" s="19"/>
      <c r="J44" s="37"/>
    </row>
    <row r="45" spans="1:10" hidden="1">
      <c r="A45" s="19" t="s">
        <v>16</v>
      </c>
      <c r="B45" s="20" t="s">
        <v>135</v>
      </c>
      <c r="C45" s="20"/>
      <c r="D45" s="61"/>
      <c r="E45" s="62"/>
      <c r="F45" s="62">
        <f>0.001*D45*E45</f>
        <v>0</v>
      </c>
      <c r="G45" s="14"/>
      <c r="H45" s="36"/>
      <c r="I45" s="19"/>
      <c r="J45" s="37"/>
    </row>
    <row r="46" spans="1:10" ht="16.5" hidden="1" customHeight="1">
      <c r="A46" s="26" t="s">
        <v>19</v>
      </c>
      <c r="B46" s="27" t="s">
        <v>20</v>
      </c>
      <c r="C46" s="27"/>
      <c r="D46" s="63"/>
      <c r="E46" s="64"/>
      <c r="F46" s="64">
        <f>0.001*D46*E46</f>
        <v>0</v>
      </c>
      <c r="G46" s="29"/>
      <c r="H46" s="28"/>
      <c r="I46" s="19"/>
      <c r="J46" s="37"/>
    </row>
    <row r="47" spans="1:10" ht="16.5" hidden="1" customHeight="1">
      <c r="A47" s="19" t="s">
        <v>21</v>
      </c>
      <c r="B47" s="19" t="s">
        <v>136</v>
      </c>
      <c r="C47" s="19"/>
      <c r="D47" s="61"/>
      <c r="E47" s="62"/>
      <c r="F47" s="62">
        <f>SUM(F42:F46)</f>
        <v>0</v>
      </c>
      <c r="G47" s="14"/>
      <c r="H47" s="13"/>
      <c r="I47" s="19"/>
      <c r="J47" s="37"/>
    </row>
    <row r="48" spans="1:10" ht="16.5" hidden="1" customHeight="1">
      <c r="A48" s="19"/>
      <c r="B48" s="13"/>
      <c r="C48" s="13"/>
      <c r="D48" s="61"/>
      <c r="E48" s="62"/>
      <c r="F48" s="62"/>
      <c r="G48" s="14"/>
      <c r="H48" s="13"/>
      <c r="I48" s="19"/>
      <c r="J48" s="37"/>
    </row>
    <row r="49" spans="1:10" ht="16.5" hidden="1" customHeight="1">
      <c r="A49" s="12">
        <v>5</v>
      </c>
      <c r="B49" s="7" t="s">
        <v>137</v>
      </c>
      <c r="C49" s="7"/>
      <c r="D49" s="61"/>
      <c r="E49" s="62"/>
      <c r="F49" s="62"/>
      <c r="G49" s="14"/>
      <c r="H49" s="13"/>
      <c r="I49" s="19"/>
      <c r="J49" s="37"/>
    </row>
    <row r="50" spans="1:10" ht="16.5" hidden="1" customHeight="1">
      <c r="A50" s="39" t="s">
        <v>8</v>
      </c>
      <c r="B50" s="40" t="s">
        <v>138</v>
      </c>
      <c r="C50" s="40"/>
      <c r="D50" s="61"/>
      <c r="E50" s="62">
        <v>1000</v>
      </c>
      <c r="F50" s="62">
        <f t="shared" ref="F50:F55" si="2">0.001*D50*E50</f>
        <v>0</v>
      </c>
      <c r="G50" s="14"/>
      <c r="H50" s="13" t="s">
        <v>10</v>
      </c>
      <c r="I50" s="19"/>
      <c r="J50" s="37"/>
    </row>
    <row r="51" spans="1:10" ht="16.5" hidden="1" customHeight="1">
      <c r="A51" s="39" t="s">
        <v>11</v>
      </c>
      <c r="B51" s="23" t="s">
        <v>17</v>
      </c>
      <c r="C51" s="23" t="s">
        <v>18</v>
      </c>
      <c r="D51" s="61"/>
      <c r="E51" s="62">
        <v>5</v>
      </c>
      <c r="F51" s="62">
        <f t="shared" si="2"/>
        <v>0</v>
      </c>
      <c r="G51" s="14"/>
      <c r="H51" s="13" t="s">
        <v>139</v>
      </c>
      <c r="I51" s="19"/>
      <c r="J51" s="37"/>
    </row>
    <row r="52" spans="1:10" ht="16.5" hidden="1" customHeight="1">
      <c r="A52" s="19" t="s">
        <v>13</v>
      </c>
      <c r="B52" s="41" t="s">
        <v>140</v>
      </c>
      <c r="C52" s="40" t="s">
        <v>15</v>
      </c>
      <c r="D52" s="61"/>
      <c r="E52" s="62">
        <v>6201</v>
      </c>
      <c r="F52" s="62">
        <f t="shared" si="2"/>
        <v>0</v>
      </c>
      <c r="G52" s="14"/>
      <c r="H52" s="13" t="s">
        <v>10</v>
      </c>
      <c r="I52" s="19"/>
      <c r="J52" s="37"/>
    </row>
    <row r="53" spans="1:10" ht="16.5" hidden="1" customHeight="1">
      <c r="A53" s="19" t="s">
        <v>16</v>
      </c>
      <c r="B53" s="41" t="s">
        <v>24</v>
      </c>
      <c r="C53" s="41" t="s">
        <v>27</v>
      </c>
      <c r="D53" s="67"/>
      <c r="E53" s="62">
        <v>15</v>
      </c>
      <c r="F53" s="62">
        <f t="shared" si="2"/>
        <v>0</v>
      </c>
      <c r="G53" s="14"/>
      <c r="H53" s="13" t="s">
        <v>139</v>
      </c>
      <c r="I53" s="19"/>
      <c r="J53" s="37"/>
    </row>
    <row r="54" spans="1:10" ht="16.5" hidden="1" customHeight="1">
      <c r="A54" s="19" t="s">
        <v>19</v>
      </c>
      <c r="B54" s="41" t="s">
        <v>141</v>
      </c>
      <c r="C54" s="41" t="s">
        <v>27</v>
      </c>
      <c r="D54" s="67"/>
      <c r="E54" s="62">
        <v>40</v>
      </c>
      <c r="F54" s="62">
        <f t="shared" si="2"/>
        <v>0</v>
      </c>
      <c r="G54" s="14"/>
      <c r="H54" s="13" t="s">
        <v>139</v>
      </c>
      <c r="I54" s="19"/>
      <c r="J54" s="37"/>
    </row>
    <row r="55" spans="1:10" ht="16.5" hidden="1" customHeight="1">
      <c r="A55" s="26" t="s">
        <v>21</v>
      </c>
      <c r="B55" s="27" t="s">
        <v>20</v>
      </c>
      <c r="C55" s="27"/>
      <c r="D55" s="63"/>
      <c r="E55" s="64"/>
      <c r="F55" s="64">
        <f t="shared" si="2"/>
        <v>0</v>
      </c>
      <c r="G55" s="29"/>
      <c r="H55" s="28"/>
      <c r="I55" s="19"/>
      <c r="J55" s="37"/>
    </row>
    <row r="56" spans="1:10" ht="16.5" hidden="1" customHeight="1">
      <c r="A56" s="19" t="s">
        <v>35</v>
      </c>
      <c r="B56" s="21" t="s">
        <v>142</v>
      </c>
      <c r="C56" s="21"/>
      <c r="D56" s="61"/>
      <c r="E56" s="62"/>
      <c r="F56" s="62">
        <f>SUM(F50:F55)</f>
        <v>0</v>
      </c>
      <c r="G56" s="14"/>
      <c r="H56" s="13"/>
      <c r="I56" s="19"/>
      <c r="J56" s="37"/>
    </row>
    <row r="57" spans="1:10" ht="16.5" hidden="1" customHeight="1">
      <c r="A57" s="19"/>
      <c r="B57" s="13"/>
      <c r="C57" s="13"/>
      <c r="D57" s="61"/>
      <c r="E57" s="62"/>
      <c r="F57" s="62"/>
      <c r="G57" s="14"/>
      <c r="H57" s="13"/>
      <c r="I57" s="19"/>
      <c r="J57" s="37"/>
    </row>
    <row r="58" spans="1:10" hidden="1">
      <c r="A58" s="12">
        <v>5</v>
      </c>
      <c r="B58" s="7" t="s">
        <v>143</v>
      </c>
      <c r="C58" s="7"/>
      <c r="D58" s="61"/>
      <c r="E58" s="62"/>
      <c r="F58" s="62"/>
      <c r="G58" s="14"/>
      <c r="H58" s="13"/>
      <c r="I58" s="19"/>
      <c r="J58" s="37"/>
    </row>
    <row r="59" spans="1:10" ht="16.5" hidden="1" customHeight="1">
      <c r="A59" s="39" t="s">
        <v>8</v>
      </c>
      <c r="B59" s="40" t="s">
        <v>138</v>
      </c>
      <c r="C59" s="40"/>
      <c r="D59" s="61"/>
      <c r="E59" s="62">
        <v>1000</v>
      </c>
      <c r="F59" s="62">
        <f t="shared" ref="F59:F64" si="3">0.001*D59*E59</f>
        <v>0</v>
      </c>
      <c r="G59" s="14"/>
      <c r="H59" s="13" t="s">
        <v>10</v>
      </c>
      <c r="I59" s="19"/>
      <c r="J59" s="37"/>
    </row>
    <row r="60" spans="1:10" ht="16.5" hidden="1" customHeight="1">
      <c r="A60" s="39" t="s">
        <v>11</v>
      </c>
      <c r="B60" s="23" t="s">
        <v>17</v>
      </c>
      <c r="C60" s="23" t="s">
        <v>18</v>
      </c>
      <c r="D60" s="61"/>
      <c r="E60" s="62">
        <v>5</v>
      </c>
      <c r="F60" s="62">
        <f t="shared" si="3"/>
        <v>0</v>
      </c>
      <c r="G60" s="14"/>
      <c r="H60" s="13" t="s">
        <v>139</v>
      </c>
      <c r="I60" s="19"/>
      <c r="J60" s="37"/>
    </row>
    <row r="61" spans="1:10" ht="16.5" hidden="1" customHeight="1">
      <c r="A61" s="19" t="s">
        <v>13</v>
      </c>
      <c r="B61" s="41" t="s">
        <v>140</v>
      </c>
      <c r="C61" s="40" t="s">
        <v>15</v>
      </c>
      <c r="D61" s="61"/>
      <c r="E61" s="62">
        <v>6201</v>
      </c>
      <c r="F61" s="62">
        <f t="shared" si="3"/>
        <v>0</v>
      </c>
      <c r="G61" s="14"/>
      <c r="H61" s="13" t="s">
        <v>10</v>
      </c>
      <c r="I61" s="19"/>
      <c r="J61" s="37"/>
    </row>
    <row r="62" spans="1:10" ht="16.5" hidden="1" customHeight="1">
      <c r="A62" s="19" t="s">
        <v>16</v>
      </c>
      <c r="B62" s="41" t="s">
        <v>24</v>
      </c>
      <c r="C62" s="41" t="s">
        <v>27</v>
      </c>
      <c r="D62" s="67"/>
      <c r="E62" s="62">
        <v>15</v>
      </c>
      <c r="F62" s="62">
        <f t="shared" si="3"/>
        <v>0</v>
      </c>
      <c r="G62" s="14"/>
      <c r="H62" s="13" t="s">
        <v>139</v>
      </c>
      <c r="I62" s="19"/>
      <c r="J62" s="37"/>
    </row>
    <row r="63" spans="1:10" hidden="1">
      <c r="A63" s="19" t="s">
        <v>19</v>
      </c>
      <c r="B63" s="41" t="s">
        <v>141</v>
      </c>
      <c r="C63" s="41" t="s">
        <v>27</v>
      </c>
      <c r="D63" s="67"/>
      <c r="E63" s="62">
        <v>40</v>
      </c>
      <c r="F63" s="62">
        <f t="shared" si="3"/>
        <v>0</v>
      </c>
      <c r="G63" s="14"/>
      <c r="H63" s="13" t="s">
        <v>139</v>
      </c>
      <c r="I63" s="19"/>
      <c r="J63" s="37"/>
    </row>
    <row r="64" spans="1:10" ht="16.5" hidden="1" customHeight="1">
      <c r="A64" s="26" t="s">
        <v>21</v>
      </c>
      <c r="B64" s="27" t="s">
        <v>20</v>
      </c>
      <c r="C64" s="27"/>
      <c r="D64" s="63"/>
      <c r="E64" s="64"/>
      <c r="F64" s="64">
        <f t="shared" si="3"/>
        <v>0</v>
      </c>
      <c r="G64" s="29"/>
      <c r="H64" s="28"/>
      <c r="I64" s="19"/>
      <c r="J64" s="37"/>
    </row>
    <row r="65" spans="1:10" ht="16.5" hidden="1" customHeight="1">
      <c r="A65" s="19" t="s">
        <v>35</v>
      </c>
      <c r="B65" s="21" t="s">
        <v>144</v>
      </c>
      <c r="C65" s="21"/>
      <c r="D65" s="61"/>
      <c r="E65" s="62"/>
      <c r="F65" s="62">
        <f>SUM(F59:F64)</f>
        <v>0</v>
      </c>
      <c r="G65" s="14"/>
      <c r="H65" s="13"/>
      <c r="I65" s="19"/>
      <c r="J65" s="37"/>
    </row>
    <row r="66" spans="1:10" ht="16.5" hidden="1" customHeight="1">
      <c r="A66" s="19"/>
      <c r="B66" s="13"/>
      <c r="C66" s="13"/>
      <c r="D66" s="61"/>
      <c r="E66" s="62"/>
      <c r="F66" s="62"/>
      <c r="G66" s="14"/>
      <c r="H66" s="13"/>
      <c r="I66" s="19"/>
      <c r="J66" s="37"/>
    </row>
    <row r="67" spans="1:10" ht="16.5" hidden="1" customHeight="1">
      <c r="A67" s="12">
        <v>7</v>
      </c>
      <c r="B67" s="7" t="s">
        <v>145</v>
      </c>
      <c r="C67" s="7"/>
      <c r="D67" s="61"/>
      <c r="E67" s="62"/>
      <c r="F67" s="62"/>
      <c r="G67" s="14"/>
      <c r="H67" s="13"/>
      <c r="I67" s="19"/>
      <c r="J67" s="37"/>
    </row>
    <row r="68" spans="1:10" ht="16.5" hidden="1" customHeight="1">
      <c r="A68" s="19" t="s">
        <v>8</v>
      </c>
      <c r="B68" s="41" t="s">
        <v>140</v>
      </c>
      <c r="C68" s="41" t="s">
        <v>15</v>
      </c>
      <c r="D68" s="61"/>
      <c r="E68" s="62">
        <v>6200</v>
      </c>
      <c r="F68" s="62">
        <f>0.001*D68*E68</f>
        <v>0</v>
      </c>
      <c r="G68" s="14"/>
      <c r="H68" s="13" t="s">
        <v>10</v>
      </c>
      <c r="I68" s="19"/>
      <c r="J68" s="37"/>
    </row>
    <row r="69" spans="1:10" ht="16.5" hidden="1" customHeight="1">
      <c r="A69" s="19" t="s">
        <v>11</v>
      </c>
      <c r="B69" s="40" t="s">
        <v>24</v>
      </c>
      <c r="C69" s="40" t="s">
        <v>27</v>
      </c>
      <c r="D69" s="67"/>
      <c r="E69" s="62">
        <v>20</v>
      </c>
      <c r="F69" s="62">
        <f>0.001*D69*E69</f>
        <v>0</v>
      </c>
      <c r="G69" s="14"/>
      <c r="H69" s="13" t="s">
        <v>146</v>
      </c>
      <c r="I69" s="19"/>
      <c r="J69" s="37"/>
    </row>
    <row r="70" spans="1:10" hidden="1">
      <c r="A70" s="19" t="s">
        <v>13</v>
      </c>
      <c r="B70" s="20" t="s">
        <v>147</v>
      </c>
      <c r="C70" s="20" t="s">
        <v>27</v>
      </c>
      <c r="D70" s="67"/>
      <c r="E70" s="62">
        <v>40</v>
      </c>
      <c r="F70" s="62">
        <f>0.001*D70*E70</f>
        <v>0</v>
      </c>
      <c r="G70" s="14"/>
      <c r="H70" s="13" t="s">
        <v>146</v>
      </c>
      <c r="I70" s="19"/>
      <c r="J70" s="37"/>
    </row>
    <row r="71" spans="1:10" ht="16.5" hidden="1" customHeight="1">
      <c r="A71" s="19" t="s">
        <v>16</v>
      </c>
      <c r="B71" s="20" t="s">
        <v>57</v>
      </c>
      <c r="C71" s="20" t="s">
        <v>27</v>
      </c>
      <c r="D71" s="61"/>
      <c r="E71" s="62">
        <v>450</v>
      </c>
      <c r="F71" s="62">
        <f>0.001*D71*E71</f>
        <v>0</v>
      </c>
      <c r="G71" s="14"/>
      <c r="H71" s="13" t="s">
        <v>10</v>
      </c>
      <c r="I71" s="19"/>
      <c r="J71" s="37"/>
    </row>
    <row r="72" spans="1:10" ht="16.5" hidden="1" customHeight="1">
      <c r="A72" s="26" t="s">
        <v>16</v>
      </c>
      <c r="B72" s="27" t="s">
        <v>20</v>
      </c>
      <c r="C72" s="27"/>
      <c r="D72" s="63"/>
      <c r="E72" s="64"/>
      <c r="F72" s="64">
        <f>0.001*D72*E72</f>
        <v>0</v>
      </c>
      <c r="G72" s="29"/>
      <c r="H72" s="28"/>
      <c r="I72" s="19"/>
      <c r="J72" s="37"/>
    </row>
    <row r="73" spans="1:10" ht="16.5" hidden="1" customHeight="1">
      <c r="A73" s="19" t="s">
        <v>19</v>
      </c>
      <c r="B73" s="39" t="s">
        <v>148</v>
      </c>
      <c r="C73" s="19"/>
      <c r="D73" s="61"/>
      <c r="E73" s="62"/>
      <c r="F73" s="62">
        <f>SUM(F68:F72)</f>
        <v>0</v>
      </c>
      <c r="G73" s="14"/>
      <c r="H73" s="13"/>
      <c r="I73" s="19"/>
      <c r="J73" s="37"/>
    </row>
    <row r="74" spans="1:10" ht="16.5" customHeight="1">
      <c r="A74" s="19"/>
      <c r="B74" s="13"/>
      <c r="C74" s="13"/>
      <c r="D74" s="61"/>
      <c r="E74" s="62"/>
      <c r="F74" s="62"/>
      <c r="G74" s="14"/>
      <c r="H74" s="13"/>
      <c r="I74" s="19"/>
      <c r="J74" s="37"/>
    </row>
    <row r="75" spans="1:10" ht="16.5" customHeight="1">
      <c r="A75" s="12">
        <v>8</v>
      </c>
      <c r="B75" s="7" t="s">
        <v>58</v>
      </c>
      <c r="C75" s="7"/>
      <c r="D75" s="61"/>
      <c r="E75" s="62"/>
      <c r="F75" s="62"/>
      <c r="G75" s="14"/>
      <c r="H75" s="13"/>
      <c r="I75" s="19"/>
      <c r="J75" s="37"/>
    </row>
    <row r="76" spans="1:10" ht="16.5" customHeight="1">
      <c r="A76" s="19" t="s">
        <v>8</v>
      </c>
      <c r="B76" s="23" t="s">
        <v>163</v>
      </c>
      <c r="C76" s="20"/>
      <c r="D76" s="61">
        <v>1</v>
      </c>
      <c r="E76" s="239">
        <v>40000</v>
      </c>
      <c r="F76" s="239">
        <f t="shared" ref="F76:F81" si="4">0.001*D76*E76</f>
        <v>40</v>
      </c>
      <c r="G76" s="240"/>
      <c r="H76" s="142" t="s">
        <v>396</v>
      </c>
      <c r="I76" s="19"/>
      <c r="J76" s="37"/>
    </row>
    <row r="77" spans="1:10" ht="16.5" customHeight="1">
      <c r="A77" s="19" t="s">
        <v>11</v>
      </c>
      <c r="B77" s="20" t="s">
        <v>59</v>
      </c>
      <c r="C77" s="20"/>
      <c r="D77" s="191">
        <v>0</v>
      </c>
      <c r="E77" s="239">
        <v>20000</v>
      </c>
      <c r="F77" s="239">
        <f t="shared" si="4"/>
        <v>0</v>
      </c>
      <c r="G77" s="240"/>
      <c r="H77" s="142" t="s">
        <v>245</v>
      </c>
      <c r="I77" s="19"/>
      <c r="J77" s="37"/>
    </row>
    <row r="78" spans="1:10" ht="16.5" customHeight="1">
      <c r="A78" s="19" t="s">
        <v>13</v>
      </c>
      <c r="B78" s="20" t="s">
        <v>60</v>
      </c>
      <c r="C78" s="20"/>
      <c r="D78" s="61">
        <v>0</v>
      </c>
      <c r="E78" s="62">
        <v>5000</v>
      </c>
      <c r="F78" s="62">
        <f t="shared" si="4"/>
        <v>0</v>
      </c>
      <c r="G78" s="14"/>
      <c r="H78" s="142" t="s">
        <v>378</v>
      </c>
      <c r="I78" s="19"/>
      <c r="J78" s="37"/>
    </row>
    <row r="79" spans="1:10" ht="16.5" customHeight="1">
      <c r="A79" s="39" t="s">
        <v>16</v>
      </c>
      <c r="B79" s="23" t="s">
        <v>61</v>
      </c>
      <c r="C79" s="23" t="s">
        <v>15</v>
      </c>
      <c r="D79" s="191">
        <v>1.5</v>
      </c>
      <c r="E79" s="239">
        <v>60000</v>
      </c>
      <c r="F79" s="239">
        <f t="shared" si="4"/>
        <v>90</v>
      </c>
      <c r="G79" s="240"/>
      <c r="H79" s="142" t="s">
        <v>398</v>
      </c>
      <c r="I79" s="19"/>
      <c r="J79" s="37"/>
    </row>
    <row r="80" spans="1:10" ht="16.5" customHeight="1">
      <c r="A80" s="39" t="s">
        <v>19</v>
      </c>
      <c r="B80" s="20" t="s">
        <v>62</v>
      </c>
      <c r="C80" s="20"/>
      <c r="D80" s="61">
        <v>1</v>
      </c>
      <c r="E80" s="62">
        <v>20000</v>
      </c>
      <c r="F80" s="62">
        <f t="shared" si="4"/>
        <v>20</v>
      </c>
      <c r="G80" s="14"/>
      <c r="H80" s="13" t="s">
        <v>10</v>
      </c>
      <c r="I80" s="19"/>
      <c r="J80" s="37"/>
    </row>
    <row r="81" spans="1:10" ht="16.5" customHeight="1">
      <c r="A81" s="42" t="s">
        <v>21</v>
      </c>
      <c r="B81" s="27" t="s">
        <v>149</v>
      </c>
      <c r="C81" s="27"/>
      <c r="D81" s="63">
        <v>1</v>
      </c>
      <c r="E81" s="64">
        <v>7500</v>
      </c>
      <c r="F81" s="64">
        <f t="shared" si="4"/>
        <v>7.5</v>
      </c>
      <c r="G81" s="29"/>
      <c r="H81" s="28" t="s">
        <v>10</v>
      </c>
      <c r="I81" s="19"/>
      <c r="J81" s="37"/>
    </row>
    <row r="82" spans="1:10" ht="16.5" customHeight="1">
      <c r="A82" s="39" t="s">
        <v>35</v>
      </c>
      <c r="B82" s="39" t="s">
        <v>63</v>
      </c>
      <c r="C82" s="13"/>
      <c r="D82" s="61"/>
      <c r="E82" s="62"/>
      <c r="F82" s="62">
        <f>SUM(F76:F81)</f>
        <v>157.5</v>
      </c>
      <c r="G82" s="14"/>
      <c r="H82" s="13"/>
      <c r="I82" s="19"/>
      <c r="J82" s="37"/>
    </row>
    <row r="83" spans="1:10" ht="16.5" customHeight="1">
      <c r="A83" s="19"/>
      <c r="B83" s="13"/>
      <c r="C83" s="13"/>
      <c r="D83" s="61"/>
      <c r="E83" s="62"/>
      <c r="F83" s="62"/>
      <c r="G83" s="14"/>
      <c r="H83" s="13"/>
      <c r="I83" s="19"/>
      <c r="J83" s="37"/>
    </row>
    <row r="84" spans="1:10" ht="16.5" customHeight="1">
      <c r="A84" s="12">
        <v>9</v>
      </c>
      <c r="B84" s="7" t="s">
        <v>247</v>
      </c>
      <c r="C84" s="7"/>
      <c r="D84" s="61"/>
      <c r="E84" s="62"/>
      <c r="F84" s="62"/>
      <c r="G84" s="14"/>
      <c r="H84" s="13"/>
      <c r="I84" s="19"/>
      <c r="J84" s="37"/>
    </row>
    <row r="85" spans="1:10" ht="16.5" customHeight="1">
      <c r="A85" s="19" t="s">
        <v>8</v>
      </c>
      <c r="B85" s="172" t="s">
        <v>248</v>
      </c>
      <c r="C85" s="41" t="s">
        <v>64</v>
      </c>
      <c r="D85" s="191">
        <v>2</v>
      </c>
      <c r="E85" s="239">
        <v>50000</v>
      </c>
      <c r="F85" s="239">
        <f t="shared" ref="F85:F90" si="5">0.001*D85*E85</f>
        <v>100</v>
      </c>
      <c r="G85" s="240"/>
      <c r="H85" s="142" t="s">
        <v>10</v>
      </c>
      <c r="I85" s="19"/>
      <c r="J85" s="37"/>
    </row>
    <row r="86" spans="1:10" ht="16.5" customHeight="1">
      <c r="A86" s="19" t="s">
        <v>11</v>
      </c>
      <c r="B86" s="41" t="s">
        <v>65</v>
      </c>
      <c r="C86" s="41" t="s">
        <v>64</v>
      </c>
      <c r="D86" s="191">
        <v>2</v>
      </c>
      <c r="E86" s="239">
        <v>75000</v>
      </c>
      <c r="F86" s="239">
        <f t="shared" si="5"/>
        <v>150</v>
      </c>
      <c r="G86" s="240"/>
      <c r="H86" s="142" t="s">
        <v>287</v>
      </c>
      <c r="I86" s="19"/>
      <c r="J86" s="37"/>
    </row>
    <row r="87" spans="1:10" ht="16.5" customHeight="1">
      <c r="A87" s="19" t="s">
        <v>13</v>
      </c>
      <c r="B87" s="172" t="s">
        <v>249</v>
      </c>
      <c r="C87" s="41"/>
      <c r="D87" s="191">
        <v>1</v>
      </c>
      <c r="E87" s="239">
        <v>50000</v>
      </c>
      <c r="F87" s="239">
        <f t="shared" si="5"/>
        <v>50</v>
      </c>
      <c r="G87" s="240"/>
      <c r="H87" s="142" t="s">
        <v>10</v>
      </c>
      <c r="I87" s="19"/>
      <c r="J87" s="37"/>
    </row>
    <row r="88" spans="1:10">
      <c r="A88" s="19" t="s">
        <v>16</v>
      </c>
      <c r="B88" s="172" t="s">
        <v>250</v>
      </c>
      <c r="C88" s="41"/>
      <c r="D88" s="191">
        <v>1</v>
      </c>
      <c r="E88" s="239">
        <v>25000</v>
      </c>
      <c r="F88" s="239">
        <f t="shared" si="5"/>
        <v>25</v>
      </c>
      <c r="G88" s="240"/>
      <c r="H88" s="142" t="s">
        <v>10</v>
      </c>
      <c r="I88" s="19"/>
      <c r="J88" s="37"/>
    </row>
    <row r="89" spans="1:10" ht="16.5" customHeight="1">
      <c r="A89" s="19" t="s">
        <v>19</v>
      </c>
      <c r="B89" s="41" t="s">
        <v>66</v>
      </c>
      <c r="C89" s="41"/>
      <c r="D89" s="191">
        <v>1</v>
      </c>
      <c r="E89" s="239">
        <v>25000</v>
      </c>
      <c r="F89" s="239">
        <f t="shared" si="5"/>
        <v>25</v>
      </c>
      <c r="G89" s="240"/>
      <c r="H89" s="142" t="s">
        <v>10</v>
      </c>
      <c r="I89" s="19"/>
      <c r="J89" s="37"/>
    </row>
    <row r="90" spans="1:10" ht="16.5" customHeight="1">
      <c r="A90" s="26" t="s">
        <v>21</v>
      </c>
      <c r="B90" s="192" t="s">
        <v>251</v>
      </c>
      <c r="C90" s="27"/>
      <c r="D90" s="184">
        <v>1</v>
      </c>
      <c r="E90" s="242">
        <v>50000</v>
      </c>
      <c r="F90" s="242">
        <f t="shared" si="5"/>
        <v>50</v>
      </c>
      <c r="G90" s="243"/>
      <c r="H90" s="238" t="s">
        <v>273</v>
      </c>
      <c r="I90" s="19"/>
      <c r="J90" s="37"/>
    </row>
    <row r="91" spans="1:10" ht="16.5" customHeight="1">
      <c r="A91" s="19" t="s">
        <v>35</v>
      </c>
      <c r="B91" s="185" t="s">
        <v>322</v>
      </c>
      <c r="C91" s="21"/>
      <c r="D91" s="61"/>
      <c r="E91" s="62"/>
      <c r="F91" s="62">
        <f>SUM(F85:F90)</f>
        <v>400</v>
      </c>
      <c r="G91" s="14"/>
      <c r="H91" s="13"/>
      <c r="I91" s="19"/>
      <c r="J91" s="37"/>
    </row>
    <row r="92" spans="1:10" ht="16.5" customHeight="1">
      <c r="A92" s="19"/>
      <c r="B92" s="13"/>
      <c r="C92" s="13"/>
      <c r="D92" s="61"/>
      <c r="E92" s="62"/>
      <c r="F92" s="62"/>
      <c r="G92" s="14"/>
      <c r="H92" s="13"/>
      <c r="I92" s="19"/>
      <c r="J92" s="37"/>
    </row>
    <row r="93" spans="1:10" ht="16.5" customHeight="1">
      <c r="A93" s="12">
        <v>10</v>
      </c>
      <c r="B93" s="7" t="s">
        <v>67</v>
      </c>
      <c r="C93" s="7"/>
      <c r="D93" s="61"/>
      <c r="E93" s="62"/>
      <c r="F93" s="62"/>
      <c r="G93" s="14"/>
      <c r="H93" s="13"/>
      <c r="I93" s="19"/>
      <c r="J93" s="37"/>
    </row>
    <row r="94" spans="1:10" ht="16.5" customHeight="1">
      <c r="A94" s="19" t="s">
        <v>8</v>
      </c>
      <c r="B94" s="41" t="s">
        <v>68</v>
      </c>
      <c r="C94" s="41"/>
      <c r="D94" s="69">
        <v>1</v>
      </c>
      <c r="E94" s="66">
        <v>5000</v>
      </c>
      <c r="F94" s="62">
        <f>0.001*D94*E94</f>
        <v>5</v>
      </c>
      <c r="G94" s="14"/>
      <c r="H94" s="13" t="s">
        <v>10</v>
      </c>
      <c r="I94" s="19"/>
      <c r="J94" s="37"/>
    </row>
    <row r="95" spans="1:10">
      <c r="A95" s="19" t="s">
        <v>11</v>
      </c>
      <c r="B95" s="41" t="s">
        <v>69</v>
      </c>
      <c r="C95" s="41"/>
      <c r="D95" s="246">
        <v>1</v>
      </c>
      <c r="E95" s="247">
        <v>20000</v>
      </c>
      <c r="F95" s="239">
        <f>0.001*D95*E95</f>
        <v>20</v>
      </c>
      <c r="G95" s="240"/>
      <c r="H95" s="176" t="s">
        <v>290</v>
      </c>
      <c r="I95" s="19"/>
      <c r="J95" s="37"/>
    </row>
    <row r="96" spans="1:10" ht="16.5" customHeight="1">
      <c r="A96" s="19" t="s">
        <v>13</v>
      </c>
      <c r="B96" s="41" t="s">
        <v>70</v>
      </c>
      <c r="C96" s="41"/>
      <c r="D96" s="69">
        <v>1</v>
      </c>
      <c r="E96" s="66">
        <v>5000</v>
      </c>
      <c r="F96" s="62">
        <f>0.001*D96*E96</f>
        <v>5</v>
      </c>
      <c r="G96" s="14"/>
      <c r="H96" s="13" t="s">
        <v>10</v>
      </c>
      <c r="I96" s="19"/>
      <c r="J96" s="37"/>
    </row>
    <row r="97" spans="1:10" ht="15.75" customHeight="1">
      <c r="A97" s="19" t="s">
        <v>16</v>
      </c>
      <c r="B97" s="41" t="s">
        <v>71</v>
      </c>
      <c r="C97" s="41"/>
      <c r="D97" s="69">
        <v>1</v>
      </c>
      <c r="E97" s="66">
        <v>10000</v>
      </c>
      <c r="F97" s="62">
        <f>0.001*D97*E97</f>
        <v>10</v>
      </c>
      <c r="G97" s="14"/>
      <c r="H97" s="13" t="s">
        <v>10</v>
      </c>
      <c r="I97" s="19"/>
      <c r="J97" s="37"/>
    </row>
    <row r="98" spans="1:10" ht="16.5" customHeight="1">
      <c r="A98" s="26" t="s">
        <v>19</v>
      </c>
      <c r="B98" s="27" t="s">
        <v>20</v>
      </c>
      <c r="C98" s="27"/>
      <c r="D98" s="63"/>
      <c r="E98" s="64"/>
      <c r="F98" s="64">
        <f>0.001*D98*E98</f>
        <v>0</v>
      </c>
      <c r="G98" s="29"/>
      <c r="H98" s="28"/>
      <c r="I98" s="19"/>
      <c r="J98" s="37"/>
    </row>
    <row r="99" spans="1:10" ht="16.5" customHeight="1">
      <c r="A99" s="19" t="s">
        <v>21</v>
      </c>
      <c r="B99" s="39" t="s">
        <v>72</v>
      </c>
      <c r="C99" s="39"/>
      <c r="D99" s="61"/>
      <c r="E99" s="62"/>
      <c r="F99" s="62">
        <f>SUM(F94:F98)</f>
        <v>40</v>
      </c>
      <c r="G99" s="14"/>
      <c r="H99" s="13"/>
      <c r="I99" s="19"/>
      <c r="J99" s="37"/>
    </row>
    <row r="100" spans="1:10" ht="16.5" customHeight="1">
      <c r="A100" s="13"/>
      <c r="B100" s="13"/>
      <c r="C100" s="13"/>
      <c r="D100" s="61"/>
      <c r="E100" s="62"/>
      <c r="F100" s="62"/>
      <c r="G100" s="14"/>
      <c r="H100" s="13"/>
      <c r="I100" s="19"/>
      <c r="J100" s="37"/>
    </row>
    <row r="101" spans="1:10" ht="16.5" customHeight="1">
      <c r="A101" s="12">
        <v>11</v>
      </c>
      <c r="B101" s="7" t="s">
        <v>73</v>
      </c>
      <c r="C101" s="7"/>
      <c r="D101" s="61"/>
      <c r="E101" s="62"/>
      <c r="F101" s="62"/>
      <c r="G101" s="14"/>
      <c r="H101" s="13"/>
      <c r="I101" s="19"/>
      <c r="J101" s="37"/>
    </row>
    <row r="102" spans="1:10" ht="16.5" customHeight="1">
      <c r="A102" s="19" t="s">
        <v>8</v>
      </c>
      <c r="B102" s="20" t="s">
        <v>14</v>
      </c>
      <c r="C102" s="20" t="s">
        <v>15</v>
      </c>
      <c r="D102" s="191">
        <v>1</v>
      </c>
      <c r="E102" s="239">
        <v>6200</v>
      </c>
      <c r="F102" s="239">
        <f>0.001*D102*E102</f>
        <v>6.2</v>
      </c>
      <c r="G102" s="240"/>
      <c r="H102" s="142" t="s">
        <v>10</v>
      </c>
      <c r="I102" s="19"/>
      <c r="J102" s="37"/>
    </row>
    <row r="103" spans="1:10" ht="16.5" customHeight="1">
      <c r="A103" s="19" t="s">
        <v>11</v>
      </c>
      <c r="B103" s="20" t="s">
        <v>74</v>
      </c>
      <c r="C103" s="20"/>
      <c r="D103" s="191">
        <v>1</v>
      </c>
      <c r="E103" s="239">
        <f>'Interconnect Costs'!K6</f>
        <v>52000</v>
      </c>
      <c r="F103" s="239">
        <f>0.001*D103*E103</f>
        <v>52</v>
      </c>
      <c r="G103" s="240"/>
      <c r="H103" s="142" t="s">
        <v>274</v>
      </c>
      <c r="I103" s="19"/>
      <c r="J103" s="37"/>
    </row>
    <row r="104" spans="1:10" ht="16.5" customHeight="1">
      <c r="A104" s="19" t="s">
        <v>13</v>
      </c>
      <c r="B104" s="20" t="s">
        <v>75</v>
      </c>
      <c r="C104" s="20"/>
      <c r="D104" s="191">
        <v>1</v>
      </c>
      <c r="E104" s="239">
        <v>10000</v>
      </c>
      <c r="F104" s="239">
        <f>0.001*D104*E104</f>
        <v>10</v>
      </c>
      <c r="G104" s="240"/>
      <c r="H104" s="142" t="s">
        <v>10</v>
      </c>
      <c r="I104" s="19"/>
      <c r="J104" s="37"/>
    </row>
    <row r="105" spans="1:10" ht="32.25" customHeight="1">
      <c r="A105" s="19" t="s">
        <v>13</v>
      </c>
      <c r="B105" s="20" t="s">
        <v>76</v>
      </c>
      <c r="C105" s="20"/>
      <c r="D105" s="191">
        <v>1</v>
      </c>
      <c r="E105" s="239">
        <f>'Interconnect Costs'!K7+'Interconnect Costs'!K8+'Interconnect Costs'!K9</f>
        <v>50000</v>
      </c>
      <c r="F105" s="239">
        <f>0.001*D105*E105</f>
        <v>50</v>
      </c>
      <c r="G105" s="240"/>
      <c r="H105" s="142" t="s">
        <v>274</v>
      </c>
      <c r="I105" s="19"/>
      <c r="J105" s="37"/>
    </row>
    <row r="106" spans="1:10" ht="16.5" customHeight="1">
      <c r="A106" s="26" t="s">
        <v>16</v>
      </c>
      <c r="B106" s="192" t="s">
        <v>248</v>
      </c>
      <c r="C106" s="27"/>
      <c r="D106" s="184">
        <v>1</v>
      </c>
      <c r="E106" s="242">
        <v>20000</v>
      </c>
      <c r="F106" s="242">
        <f>0.001*D106*E106</f>
        <v>20</v>
      </c>
      <c r="G106" s="243"/>
      <c r="H106" s="238" t="s">
        <v>10</v>
      </c>
      <c r="I106" s="19"/>
      <c r="J106" s="37"/>
    </row>
    <row r="107" spans="1:10">
      <c r="A107" s="19" t="s">
        <v>21</v>
      </c>
      <c r="B107" s="19" t="s">
        <v>77</v>
      </c>
      <c r="C107" s="19"/>
      <c r="D107" s="191"/>
      <c r="E107" s="239"/>
      <c r="F107" s="239">
        <f>SUM(F102:F106)</f>
        <v>138.19999999999999</v>
      </c>
      <c r="G107" s="240"/>
      <c r="H107" s="142"/>
      <c r="I107" s="19"/>
      <c r="J107" s="37"/>
    </row>
    <row r="108" spans="1:10" ht="16.5" customHeight="1">
      <c r="A108" s="13"/>
      <c r="B108" s="13"/>
      <c r="C108" s="13"/>
      <c r="D108" s="61"/>
      <c r="E108" s="62"/>
      <c r="F108" s="62"/>
      <c r="G108" s="14"/>
      <c r="H108" s="13"/>
      <c r="I108" s="19"/>
      <c r="J108" s="37"/>
    </row>
    <row r="109" spans="1:10" ht="16.5" customHeight="1">
      <c r="A109" s="12">
        <v>12</v>
      </c>
      <c r="B109" s="7" t="s">
        <v>78</v>
      </c>
      <c r="C109" s="7"/>
      <c r="D109" s="61"/>
      <c r="E109" s="62"/>
      <c r="F109" s="62"/>
      <c r="G109" s="14"/>
      <c r="H109" s="13"/>
      <c r="I109" s="19"/>
      <c r="J109" s="37"/>
    </row>
    <row r="110" spans="1:10" ht="16.5" customHeight="1">
      <c r="A110" s="19" t="s">
        <v>8</v>
      </c>
      <c r="B110" s="20" t="s">
        <v>79</v>
      </c>
      <c r="C110" s="20"/>
      <c r="D110" s="61">
        <v>1</v>
      </c>
      <c r="E110" s="62">
        <f>F130*1000*0.08</f>
        <v>191953.69144314568</v>
      </c>
      <c r="F110" s="62">
        <f t="shared" ref="F110:F115" si="6">0.001*D110*E110</f>
        <v>191.95369144314569</v>
      </c>
      <c r="G110" s="14"/>
      <c r="H110" s="36" t="s">
        <v>164</v>
      </c>
      <c r="I110" s="19"/>
      <c r="J110" s="37"/>
    </row>
    <row r="111" spans="1:10">
      <c r="A111" s="19" t="s">
        <v>11</v>
      </c>
      <c r="B111" s="20" t="s">
        <v>80</v>
      </c>
      <c r="C111" s="20"/>
      <c r="D111" s="61">
        <v>1</v>
      </c>
      <c r="E111" s="62">
        <v>25000</v>
      </c>
      <c r="F111" s="62">
        <f t="shared" si="6"/>
        <v>25</v>
      </c>
      <c r="G111" s="14"/>
      <c r="H111" s="13" t="s">
        <v>10</v>
      </c>
      <c r="I111" s="19"/>
      <c r="J111" s="37"/>
    </row>
    <row r="112" spans="1:10" ht="16.5" customHeight="1">
      <c r="A112" s="19" t="s">
        <v>13</v>
      </c>
      <c r="B112" s="20" t="s">
        <v>81</v>
      </c>
      <c r="C112" s="20"/>
      <c r="D112" s="61">
        <v>1</v>
      </c>
      <c r="E112" s="62">
        <v>20000</v>
      </c>
      <c r="F112" s="62">
        <f t="shared" si="6"/>
        <v>20</v>
      </c>
      <c r="G112" s="14"/>
      <c r="H112" s="13" t="s">
        <v>82</v>
      </c>
      <c r="I112" s="19"/>
      <c r="J112" s="37"/>
    </row>
    <row r="113" spans="1:10" ht="16.5" customHeight="1">
      <c r="A113" s="19" t="s">
        <v>16</v>
      </c>
      <c r="B113" s="20" t="s">
        <v>83</v>
      </c>
      <c r="C113" s="20"/>
      <c r="D113" s="61">
        <v>1</v>
      </c>
      <c r="E113" s="62">
        <v>35000</v>
      </c>
      <c r="F113" s="62">
        <f t="shared" si="6"/>
        <v>35</v>
      </c>
      <c r="G113" s="14"/>
      <c r="H113" s="13" t="s">
        <v>91</v>
      </c>
      <c r="I113" s="19"/>
      <c r="J113" s="37"/>
    </row>
    <row r="114" spans="1:10">
      <c r="A114" s="19" t="s">
        <v>19</v>
      </c>
      <c r="B114" s="20" t="s">
        <v>84</v>
      </c>
      <c r="C114" s="20"/>
      <c r="D114" s="61">
        <v>1</v>
      </c>
      <c r="E114" s="62">
        <v>100000</v>
      </c>
      <c r="F114" s="62">
        <f t="shared" si="6"/>
        <v>100</v>
      </c>
      <c r="G114" s="14"/>
      <c r="H114" s="13" t="s">
        <v>10</v>
      </c>
      <c r="I114" s="19"/>
      <c r="J114" s="37"/>
    </row>
    <row r="115" spans="1:10" ht="16.5" customHeight="1">
      <c r="A115" s="26" t="s">
        <v>21</v>
      </c>
      <c r="B115" s="27" t="s">
        <v>20</v>
      </c>
      <c r="C115" s="27"/>
      <c r="D115" s="63"/>
      <c r="E115" s="64"/>
      <c r="F115" s="64">
        <f t="shared" si="6"/>
        <v>0</v>
      </c>
      <c r="G115" s="29"/>
      <c r="H115" s="28"/>
      <c r="I115" s="19"/>
      <c r="J115" s="37"/>
    </row>
    <row r="116" spans="1:10" ht="16.5" customHeight="1">
      <c r="A116" s="19" t="s">
        <v>35</v>
      </c>
      <c r="B116" s="19" t="s">
        <v>85</v>
      </c>
      <c r="C116" s="19"/>
      <c r="D116" s="61"/>
      <c r="E116" s="62"/>
      <c r="F116" s="62">
        <f>SUM(F110:F115)</f>
        <v>371.95369144314566</v>
      </c>
      <c r="G116" s="14"/>
      <c r="H116" s="13"/>
      <c r="I116" s="19"/>
      <c r="J116" s="37"/>
    </row>
    <row r="117" spans="1:10" ht="16.5" customHeight="1">
      <c r="A117" s="13"/>
      <c r="B117" s="13"/>
      <c r="C117" s="13"/>
      <c r="D117" s="61"/>
      <c r="E117" s="62"/>
      <c r="F117" s="62"/>
      <c r="G117" s="14"/>
      <c r="H117" s="13"/>
      <c r="I117" s="19"/>
      <c r="J117" s="37"/>
    </row>
    <row r="118" spans="1:10" ht="16.5" customHeight="1">
      <c r="A118" s="12"/>
      <c r="B118" s="7" t="s">
        <v>86</v>
      </c>
      <c r="C118" s="7"/>
      <c r="D118" s="61"/>
      <c r="E118" s="62"/>
      <c r="F118" s="62"/>
      <c r="G118" s="14"/>
      <c r="H118" s="13"/>
      <c r="I118" s="19"/>
      <c r="J118" s="37"/>
    </row>
    <row r="119" spans="1:10" ht="16.5" customHeight="1">
      <c r="A119" s="12">
        <f>A$2</f>
        <v>1</v>
      </c>
      <c r="B119" s="13" t="str">
        <f>B$2</f>
        <v>General</v>
      </c>
      <c r="C119" s="13"/>
      <c r="D119" s="61"/>
      <c r="E119" s="62"/>
      <c r="F119" s="62">
        <f>F$8</f>
        <v>129.80000000000001</v>
      </c>
      <c r="G119" s="14"/>
      <c r="H119" s="13"/>
      <c r="I119" s="19"/>
      <c r="J119" s="37"/>
    </row>
    <row r="120" spans="1:10" ht="16.5" customHeight="1">
      <c r="A120" s="12">
        <f>A$10</f>
        <v>2</v>
      </c>
      <c r="B120" s="13" t="str">
        <f>B$10</f>
        <v>Powerhouse/Intake</v>
      </c>
      <c r="C120" s="13"/>
      <c r="D120" s="61"/>
      <c r="E120" s="62"/>
      <c r="F120" s="62">
        <f>F$30</f>
        <v>849.64903103932136</v>
      </c>
      <c r="G120" s="14"/>
      <c r="H120" s="13"/>
      <c r="I120" s="19"/>
      <c r="J120" s="37"/>
    </row>
    <row r="121" spans="1:10" ht="16.5" customHeight="1">
      <c r="A121" s="12">
        <f>A$32</f>
        <v>3</v>
      </c>
      <c r="B121" s="13" t="str">
        <f>B$32</f>
        <v>Equipment</v>
      </c>
      <c r="C121" s="13"/>
      <c r="D121" s="61"/>
      <c r="E121" s="62"/>
      <c r="F121" s="62">
        <f>F$39</f>
        <v>684.27211199999999</v>
      </c>
      <c r="G121" s="14"/>
      <c r="H121" s="13"/>
      <c r="I121" s="19"/>
      <c r="J121" s="37"/>
    </row>
    <row r="122" spans="1:10" ht="16.5" hidden="1" customHeight="1">
      <c r="A122" s="43">
        <f>A$41</f>
        <v>4</v>
      </c>
      <c r="B122" s="11" t="str">
        <f>B$41</f>
        <v xml:space="preserve">Spillway </v>
      </c>
      <c r="E122" s="66"/>
      <c r="F122" s="66">
        <f>F$47</f>
        <v>0</v>
      </c>
      <c r="G122" s="44"/>
      <c r="I122" s="19"/>
      <c r="J122" s="37"/>
    </row>
    <row r="123" spans="1:10" ht="16.5" hidden="1" customHeight="1">
      <c r="A123" s="43">
        <f>A$49</f>
        <v>5</v>
      </c>
      <c r="B123" s="11" t="str">
        <f>B$49</f>
        <v>East (left) Dike</v>
      </c>
      <c r="E123" s="66"/>
      <c r="F123" s="66">
        <f>F$56</f>
        <v>0</v>
      </c>
      <c r="G123" s="33"/>
      <c r="I123" s="19"/>
      <c r="J123" s="37"/>
    </row>
    <row r="124" spans="1:10" ht="16.5" hidden="1" customHeight="1">
      <c r="A124" s="43">
        <f>A$58</f>
        <v>5</v>
      </c>
      <c r="B124" s="11" t="str">
        <f>B$58</f>
        <v>West (right) Dike</v>
      </c>
      <c r="E124" s="66"/>
      <c r="F124" s="66">
        <f>F$65</f>
        <v>0</v>
      </c>
      <c r="G124" s="33"/>
      <c r="I124" s="19"/>
      <c r="J124" s="37"/>
    </row>
    <row r="125" spans="1:10" ht="16.5" hidden="1" customHeight="1">
      <c r="A125" s="43">
        <f>A$67</f>
        <v>7</v>
      </c>
      <c r="B125" s="11" t="str">
        <f>B$67</f>
        <v>Canal</v>
      </c>
      <c r="E125" s="66"/>
      <c r="F125" s="66">
        <f>F$73</f>
        <v>0</v>
      </c>
      <c r="G125" s="33"/>
      <c r="I125" s="19"/>
      <c r="J125" s="37"/>
    </row>
    <row r="126" spans="1:10" ht="16.5" customHeight="1">
      <c r="A126" s="43">
        <f>A$75</f>
        <v>8</v>
      </c>
      <c r="B126" s="11" t="str">
        <f>B$75</f>
        <v>PM&amp;E Measures</v>
      </c>
      <c r="E126" s="66"/>
      <c r="F126" s="66">
        <f>F$82</f>
        <v>157.5</v>
      </c>
      <c r="G126" s="33"/>
      <c r="I126" s="19"/>
      <c r="J126" s="37"/>
    </row>
    <row r="127" spans="1:10" ht="16.5" customHeight="1">
      <c r="A127" s="43">
        <f>A$84</f>
        <v>9</v>
      </c>
      <c r="B127" s="176" t="s">
        <v>247</v>
      </c>
      <c r="E127" s="66"/>
      <c r="F127" s="66">
        <f>F$91</f>
        <v>400</v>
      </c>
      <c r="G127" s="33"/>
      <c r="I127" s="19"/>
      <c r="J127" s="37"/>
    </row>
    <row r="128" spans="1:10" ht="16.5" customHeight="1">
      <c r="A128" s="43">
        <f>A$93</f>
        <v>10</v>
      </c>
      <c r="B128" s="11" t="str">
        <f>B$93</f>
        <v>Land &amp; Land Rights</v>
      </c>
      <c r="E128" s="66"/>
      <c r="F128" s="66">
        <f>F$99</f>
        <v>40</v>
      </c>
      <c r="G128" s="33"/>
      <c r="I128" s="19"/>
      <c r="J128" s="37"/>
    </row>
    <row r="129" spans="1:10" ht="16.5" customHeight="1">
      <c r="A129" s="45">
        <f>A$101</f>
        <v>11</v>
      </c>
      <c r="B129" s="46" t="str">
        <f>B$101</f>
        <v>Interconnection</v>
      </c>
      <c r="C129" s="46"/>
      <c r="D129" s="70"/>
      <c r="E129" s="71"/>
      <c r="F129" s="71">
        <f>F$107</f>
        <v>138.19999999999999</v>
      </c>
      <c r="G129" s="47"/>
      <c r="H129" s="183"/>
      <c r="I129" s="19"/>
      <c r="J129" s="37"/>
    </row>
    <row r="130" spans="1:10" ht="16.5" customHeight="1">
      <c r="A130" s="43"/>
      <c r="B130" s="48" t="s">
        <v>87</v>
      </c>
      <c r="C130" s="48"/>
      <c r="E130" s="66"/>
      <c r="F130" s="66">
        <f>SUM(F119:F129)</f>
        <v>2399.4211430393211</v>
      </c>
      <c r="G130" s="33"/>
      <c r="I130" s="19"/>
      <c r="J130" s="37"/>
    </row>
    <row r="131" spans="1:10" ht="16.5" customHeight="1">
      <c r="A131" s="43"/>
      <c r="B131" s="48"/>
      <c r="C131" s="48"/>
      <c r="E131" s="66"/>
      <c r="F131" s="66"/>
      <c r="G131" s="33"/>
      <c r="I131" s="19"/>
      <c r="J131" s="37"/>
    </row>
    <row r="132" spans="1:10" ht="16.5" customHeight="1">
      <c r="A132" s="45">
        <f>A$109</f>
        <v>12</v>
      </c>
      <c r="B132" s="46" t="str">
        <f>B$109</f>
        <v>Indirect Costs</v>
      </c>
      <c r="C132" s="46"/>
      <c r="D132" s="70"/>
      <c r="E132" s="71"/>
      <c r="F132" s="71">
        <f>F$116</f>
        <v>371.95369144314566</v>
      </c>
      <c r="G132" s="47"/>
      <c r="H132" s="46"/>
      <c r="I132" s="19"/>
      <c r="J132" s="37"/>
    </row>
    <row r="133" spans="1:10" ht="16.5" customHeight="1">
      <c r="A133" s="43"/>
      <c r="B133" s="48" t="s">
        <v>88</v>
      </c>
      <c r="C133" s="48"/>
      <c r="E133" s="66"/>
      <c r="F133" s="72">
        <f>F$130+F$132</f>
        <v>2771.3748344824667</v>
      </c>
      <c r="G133" s="49"/>
      <c r="I133" s="19"/>
      <c r="J133" s="37"/>
    </row>
    <row r="134" spans="1:10" ht="16.5" customHeight="1">
      <c r="A134" s="43"/>
      <c r="B134" s="48"/>
      <c r="C134" s="48"/>
      <c r="E134" s="66"/>
      <c r="F134" s="72"/>
      <c r="G134" s="49"/>
      <c r="I134" s="19"/>
      <c r="J134" s="37"/>
    </row>
    <row r="135" spans="1:10" ht="16.5" customHeight="1">
      <c r="A135" s="45">
        <v>13</v>
      </c>
      <c r="B135" s="46" t="s">
        <v>89</v>
      </c>
      <c r="C135" s="46"/>
      <c r="D135" s="73">
        <f>F$133*1000</f>
        <v>2771374.8344824668</v>
      </c>
      <c r="E135" s="245">
        <v>0.2</v>
      </c>
      <c r="F135" s="71">
        <f>D135*E135*0.001</f>
        <v>554.27496689649331</v>
      </c>
      <c r="G135" s="47"/>
      <c r="H135" s="46"/>
      <c r="I135" s="19"/>
      <c r="J135" s="37"/>
    </row>
    <row r="136" spans="1:10" ht="16.5" customHeight="1">
      <c r="E136" s="66"/>
      <c r="F136" s="66"/>
      <c r="G136" s="33"/>
      <c r="I136" s="19"/>
      <c r="J136" s="37"/>
    </row>
    <row r="137" spans="1:10" ht="16.5" customHeight="1">
      <c r="A137" s="12"/>
      <c r="B137" s="50" t="s">
        <v>90</v>
      </c>
      <c r="C137" s="7"/>
      <c r="D137" s="61"/>
      <c r="E137" s="62"/>
      <c r="F137" s="60">
        <f>F$133+F$135</f>
        <v>3325.6498013789601</v>
      </c>
      <c r="G137" s="8"/>
      <c r="H137" s="13"/>
      <c r="I137" s="19"/>
      <c r="J137" s="37"/>
    </row>
    <row r="138" spans="1:10">
      <c r="I138" s="19"/>
      <c r="J138" s="37"/>
    </row>
    <row r="139" spans="1:10">
      <c r="I139" s="19"/>
      <c r="J139" s="37"/>
    </row>
    <row r="140" spans="1:10">
      <c r="I140" s="19"/>
      <c r="J140" s="37"/>
    </row>
    <row r="141" spans="1:10">
      <c r="I141" s="19"/>
      <c r="J141" s="37"/>
    </row>
    <row r="142" spans="1:10">
      <c r="I142" s="19"/>
      <c r="J142" s="37"/>
    </row>
    <row r="143" spans="1:10">
      <c r="I143" s="19"/>
      <c r="J143" s="37"/>
    </row>
    <row r="144" spans="1:10">
      <c r="I144" s="19"/>
      <c r="J144" s="37"/>
    </row>
    <row r="145" spans="9:10">
      <c r="I145" s="19"/>
      <c r="J145" s="37"/>
    </row>
    <row r="146" spans="9:10">
      <c r="I146" s="19"/>
      <c r="J146" s="37"/>
    </row>
    <row r="147" spans="9:10">
      <c r="I147" s="19"/>
      <c r="J147" s="37"/>
    </row>
    <row r="148" spans="9:10">
      <c r="I148" s="19"/>
      <c r="J148" s="37"/>
    </row>
    <row r="149" spans="9:10">
      <c r="I149" s="19"/>
      <c r="J149" s="37"/>
    </row>
    <row r="150" spans="9:10">
      <c r="I150" s="19"/>
      <c r="J150" s="37"/>
    </row>
    <row r="151" spans="9:10">
      <c r="I151" s="19"/>
      <c r="J151" s="37"/>
    </row>
    <row r="152" spans="9:10">
      <c r="I152" s="19"/>
      <c r="J152" s="37"/>
    </row>
    <row r="153" spans="9:10">
      <c r="I153" s="19"/>
      <c r="J153" s="37"/>
    </row>
    <row r="154" spans="9:10">
      <c r="I154" s="19"/>
      <c r="J154" s="37"/>
    </row>
    <row r="155" spans="9:10">
      <c r="I155" s="19"/>
      <c r="J155" s="37"/>
    </row>
    <row r="156" spans="9:10">
      <c r="I156" s="19"/>
      <c r="J156" s="37"/>
    </row>
    <row r="157" spans="9:10">
      <c r="I157" s="19"/>
      <c r="J157" s="37"/>
    </row>
    <row r="158" spans="9:10">
      <c r="I158" s="19"/>
      <c r="J158" s="37"/>
    </row>
    <row r="159" spans="9:10">
      <c r="I159" s="19"/>
      <c r="J159" s="37"/>
    </row>
    <row r="160" spans="9:10">
      <c r="I160" s="19"/>
      <c r="J160" s="37"/>
    </row>
    <row r="161" spans="9:10">
      <c r="I161" s="19"/>
      <c r="J161" s="37"/>
    </row>
    <row r="162" spans="9:10">
      <c r="I162" s="19"/>
      <c r="J162" s="37"/>
    </row>
    <row r="163" spans="9:10">
      <c r="I163" s="19"/>
      <c r="J163" s="37"/>
    </row>
    <row r="164" spans="9:10">
      <c r="I164" s="19"/>
      <c r="J164" s="37"/>
    </row>
    <row r="165" spans="9:10">
      <c r="I165" s="19"/>
      <c r="J165" s="37"/>
    </row>
    <row r="166" spans="9:10">
      <c r="I166" s="19"/>
      <c r="J166" s="37"/>
    </row>
    <row r="167" spans="9:10">
      <c r="I167" s="19"/>
      <c r="J167" s="37"/>
    </row>
    <row r="168" spans="9:10">
      <c r="I168" s="19"/>
      <c r="J168" s="37"/>
    </row>
    <row r="169" spans="9:10">
      <c r="I169" s="19"/>
      <c r="J169" s="37"/>
    </row>
    <row r="170" spans="9:10">
      <c r="I170" s="19"/>
      <c r="J170" s="37"/>
    </row>
    <row r="171" spans="9:10">
      <c r="I171" s="19"/>
      <c r="J171" s="37"/>
    </row>
    <row r="172" spans="9:10">
      <c r="I172" s="19"/>
      <c r="J172" s="37"/>
    </row>
    <row r="173" spans="9:10">
      <c r="I173" s="19"/>
      <c r="J173" s="37"/>
    </row>
    <row r="174" spans="9:10">
      <c r="I174" s="19"/>
      <c r="J174" s="37"/>
    </row>
  </sheetData>
  <mergeCells count="1">
    <mergeCell ref="L3:S11"/>
  </mergeCells>
  <conditionalFormatting sqref="I24:N65536 I3:I5 I17:I22 N12:N22 L3 I7:I15 K18:L22 M20:M22 K5 K8:K15 L12:M15">
    <cfRule type="cellIs" dxfId="14" priority="1" stopIfTrue="1" operator="equal">
      <formula>0</formula>
    </cfRule>
  </conditionalFormatting>
  <printOptions horizontalCentered="1" gridLines="1"/>
  <pageMargins left="0.75" right="0.75" top="0.63" bottom="0.63" header="0.32" footer="0.45"/>
  <pageSetup scale="61" fitToHeight="2" orientation="portrait" r:id="rId1"/>
  <headerFooter alignWithMargins="0">
    <oddHeader>&amp;L&amp;"Arial,Bold Italic"&amp;11&amp;A&amp;C&amp;"Arial,Bold Italic"&amp;11Ten Mile River Hydro
Phase I Feasibility Study&amp;R&amp;"Arial,Bold Italic"&amp;11For Planning Purposes Only</oddHeader>
    <oddFooter>&amp;L&amp;F&amp;R&amp;G</oddFooter>
  </headerFooter>
  <rowBreaks count="1" manualBreakCount="1">
    <brk id="92" max="7" man="1"/>
  </rowBreaks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theme="5"/>
  </sheetPr>
  <dimension ref="A1:S174"/>
  <sheetViews>
    <sheetView view="pageBreakPreview" zoomScale="75" zoomScaleNormal="100" zoomScaleSheetLayoutView="75" workbookViewId="0">
      <selection activeCell="H79" sqref="H79"/>
    </sheetView>
  </sheetViews>
  <sheetFormatPr defaultRowHeight="12.75"/>
  <cols>
    <col min="1" max="1" width="4.85546875" style="11" customWidth="1"/>
    <col min="2" max="2" width="32.5703125" style="11" customWidth="1"/>
    <col min="3" max="3" width="9.140625" style="11"/>
    <col min="4" max="4" width="12.42578125" style="69" customWidth="1"/>
    <col min="5" max="5" width="9.42578125" style="69" customWidth="1"/>
    <col min="6" max="6" width="12.85546875" style="69" customWidth="1"/>
    <col min="7" max="7" width="3.140625" style="11" customWidth="1"/>
    <col min="8" max="8" width="60.7109375" style="11" customWidth="1"/>
    <col min="9" max="9" width="4.85546875" style="11" customWidth="1"/>
    <col min="10" max="10" width="12.28515625" style="51" customWidth="1"/>
    <col min="11" max="11" width="12.42578125" style="10" customWidth="1"/>
    <col min="12" max="12" width="12.5703125" style="10" customWidth="1"/>
    <col min="13" max="14" width="9.140625" style="10"/>
    <col min="15" max="16384" width="9.140625" style="11"/>
  </cols>
  <sheetData>
    <row r="1" spans="1:19" ht="25.5">
      <c r="A1" s="7" t="s">
        <v>0</v>
      </c>
      <c r="B1" s="7" t="s">
        <v>1</v>
      </c>
      <c r="C1" s="7" t="s">
        <v>2</v>
      </c>
      <c r="D1" s="12" t="s">
        <v>3</v>
      </c>
      <c r="E1" s="60" t="s">
        <v>4</v>
      </c>
      <c r="F1" s="60" t="s">
        <v>5</v>
      </c>
      <c r="G1" s="8"/>
      <c r="H1" s="7" t="s">
        <v>6</v>
      </c>
      <c r="I1" s="7"/>
      <c r="J1" s="9"/>
      <c r="L1" s="10" t="s">
        <v>270</v>
      </c>
    </row>
    <row r="2" spans="1:19" ht="16.5" customHeight="1">
      <c r="A2" s="12">
        <v>1</v>
      </c>
      <c r="B2" s="7" t="s">
        <v>7</v>
      </c>
      <c r="C2" s="7"/>
      <c r="D2" s="61"/>
      <c r="E2" s="62"/>
      <c r="F2" s="62"/>
      <c r="G2" s="14"/>
      <c r="H2" s="13"/>
      <c r="I2" s="15"/>
      <c r="J2" s="16"/>
      <c r="K2" s="170"/>
      <c r="L2" s="141" t="s">
        <v>228</v>
      </c>
      <c r="M2" s="17"/>
      <c r="N2" s="17"/>
      <c r="O2" s="18"/>
      <c r="P2" s="18"/>
    </row>
    <row r="3" spans="1:19" ht="16.5" customHeight="1">
      <c r="A3" s="19" t="s">
        <v>8</v>
      </c>
      <c r="B3" s="20" t="s">
        <v>9</v>
      </c>
      <c r="C3" s="20"/>
      <c r="D3" s="61">
        <v>1</v>
      </c>
      <c r="E3" s="62">
        <v>25000</v>
      </c>
      <c r="F3" s="62">
        <f>0.001*D3*E3</f>
        <v>25</v>
      </c>
      <c r="G3" s="14"/>
      <c r="H3" s="13" t="s">
        <v>10</v>
      </c>
      <c r="I3" s="21"/>
      <c r="J3" s="22"/>
      <c r="L3" s="374" t="s">
        <v>305</v>
      </c>
      <c r="M3" s="374"/>
      <c r="N3" s="374"/>
      <c r="O3" s="374"/>
      <c r="P3" s="374"/>
      <c r="Q3" s="374"/>
      <c r="R3" s="374"/>
      <c r="S3" s="374"/>
    </row>
    <row r="4" spans="1:19" ht="16.5" customHeight="1">
      <c r="A4" s="19" t="s">
        <v>11</v>
      </c>
      <c r="B4" s="20" t="s">
        <v>12</v>
      </c>
      <c r="C4" s="20"/>
      <c r="D4" s="61">
        <v>1</v>
      </c>
      <c r="E4" s="62">
        <v>10000</v>
      </c>
      <c r="F4" s="62">
        <f>0.001*D4*E4</f>
        <v>10</v>
      </c>
      <c r="G4" s="14"/>
      <c r="H4" s="13" t="s">
        <v>10</v>
      </c>
      <c r="I4" s="21"/>
      <c r="J4" s="22"/>
      <c r="K4" s="140"/>
      <c r="L4" s="374"/>
      <c r="M4" s="374"/>
      <c r="N4" s="374"/>
      <c r="O4" s="374"/>
      <c r="P4" s="374"/>
      <c r="Q4" s="374"/>
      <c r="R4" s="374"/>
      <c r="S4" s="374"/>
    </row>
    <row r="5" spans="1:19" ht="18.75" customHeight="1">
      <c r="A5" s="19" t="s">
        <v>13</v>
      </c>
      <c r="B5" s="23" t="s">
        <v>14</v>
      </c>
      <c r="C5" s="23" t="s">
        <v>15</v>
      </c>
      <c r="D5" s="61">
        <v>4</v>
      </c>
      <c r="E5" s="62">
        <v>6200</v>
      </c>
      <c r="F5" s="62">
        <f>0.001*D5*E5</f>
        <v>24.8</v>
      </c>
      <c r="G5" s="14"/>
      <c r="H5" s="142" t="s">
        <v>285</v>
      </c>
      <c r="I5" s="21"/>
      <c r="J5" s="22"/>
      <c r="K5" s="17"/>
      <c r="L5" s="374"/>
      <c r="M5" s="374"/>
      <c r="N5" s="374"/>
      <c r="O5" s="374"/>
      <c r="P5" s="374"/>
      <c r="Q5" s="374"/>
      <c r="R5" s="374"/>
      <c r="S5" s="374"/>
    </row>
    <row r="6" spans="1:19" ht="16.5" customHeight="1">
      <c r="A6" s="19" t="s">
        <v>16</v>
      </c>
      <c r="B6" s="23" t="s">
        <v>17</v>
      </c>
      <c r="C6" s="23" t="s">
        <v>18</v>
      </c>
      <c r="D6" s="61">
        <v>2000</v>
      </c>
      <c r="E6" s="62">
        <v>10</v>
      </c>
      <c r="F6" s="62">
        <f>0.001*D6*E6</f>
        <v>20</v>
      </c>
      <c r="G6" s="14"/>
      <c r="H6" s="142" t="s">
        <v>285</v>
      </c>
      <c r="I6" s="18"/>
      <c r="J6" s="24"/>
      <c r="K6" s="25"/>
      <c r="L6" s="374"/>
      <c r="M6" s="374"/>
      <c r="N6" s="374"/>
      <c r="O6" s="374"/>
      <c r="P6" s="374"/>
      <c r="Q6" s="374"/>
      <c r="R6" s="374"/>
      <c r="S6" s="374"/>
    </row>
    <row r="7" spans="1:19" ht="16.5" customHeight="1">
      <c r="A7" s="26" t="s">
        <v>19</v>
      </c>
      <c r="B7" s="27" t="s">
        <v>151</v>
      </c>
      <c r="C7" s="27"/>
      <c r="D7" s="184">
        <v>1</v>
      </c>
      <c r="E7" s="64">
        <f>'Phase I Dam Repairs'!D3*1000</f>
        <v>50000</v>
      </c>
      <c r="F7" s="64">
        <f>0.001*D7*E7</f>
        <v>50</v>
      </c>
      <c r="G7" s="29"/>
      <c r="H7" s="238" t="s">
        <v>286</v>
      </c>
      <c r="I7" s="21"/>
      <c r="J7" s="22"/>
      <c r="K7" s="30"/>
      <c r="L7" s="374"/>
      <c r="M7" s="374"/>
      <c r="N7" s="374"/>
      <c r="O7" s="374"/>
      <c r="P7" s="374"/>
      <c r="Q7" s="374"/>
      <c r="R7" s="374"/>
      <c r="S7" s="374"/>
    </row>
    <row r="8" spans="1:19" ht="16.5" customHeight="1">
      <c r="A8" s="19" t="s">
        <v>21</v>
      </c>
      <c r="B8" s="19" t="s">
        <v>22</v>
      </c>
      <c r="C8" s="19"/>
      <c r="D8" s="61"/>
      <c r="E8" s="62"/>
      <c r="F8" s="62">
        <f>SUM(F2:F7)</f>
        <v>129.80000000000001</v>
      </c>
      <c r="G8" s="14"/>
      <c r="H8" s="13"/>
      <c r="I8" s="21"/>
      <c r="J8" s="22"/>
      <c r="K8" s="31"/>
      <c r="L8" s="374"/>
      <c r="M8" s="374"/>
      <c r="N8" s="374"/>
      <c r="O8" s="374"/>
      <c r="P8" s="374"/>
      <c r="Q8" s="374"/>
      <c r="R8" s="374"/>
      <c r="S8" s="374"/>
    </row>
    <row r="9" spans="1:19" ht="16.5" customHeight="1">
      <c r="A9" s="19"/>
      <c r="B9" s="13"/>
      <c r="C9" s="13"/>
      <c r="D9" s="61"/>
      <c r="E9" s="62"/>
      <c r="F9" s="62"/>
      <c r="G9" s="14"/>
      <c r="H9" s="13"/>
      <c r="I9" s="21"/>
      <c r="J9" s="22"/>
      <c r="K9" s="31"/>
      <c r="L9" s="374"/>
      <c r="M9" s="374"/>
      <c r="N9" s="374"/>
      <c r="O9" s="374"/>
      <c r="P9" s="374"/>
      <c r="Q9" s="374"/>
      <c r="R9" s="374"/>
      <c r="S9" s="374"/>
    </row>
    <row r="10" spans="1:19" ht="16.5" customHeight="1">
      <c r="A10" s="12">
        <v>2</v>
      </c>
      <c r="B10" s="7" t="s">
        <v>130</v>
      </c>
      <c r="C10" s="7"/>
      <c r="D10" s="65"/>
      <c r="E10" s="62"/>
      <c r="F10" s="62"/>
      <c r="G10" s="14"/>
      <c r="H10" s="13"/>
      <c r="I10" s="21"/>
      <c r="J10" s="22"/>
      <c r="K10" s="31"/>
      <c r="L10" s="374"/>
      <c r="M10" s="374"/>
      <c r="N10" s="374"/>
      <c r="O10" s="374"/>
      <c r="P10" s="374"/>
      <c r="Q10" s="374"/>
      <c r="R10" s="374"/>
      <c r="S10" s="374"/>
    </row>
    <row r="11" spans="1:19" ht="16.5" customHeight="1">
      <c r="A11" s="19" t="s">
        <v>8</v>
      </c>
      <c r="B11" s="20" t="s">
        <v>114</v>
      </c>
      <c r="C11" s="32"/>
      <c r="D11" s="66"/>
      <c r="E11" s="62"/>
      <c r="F11" s="62">
        <v>100</v>
      </c>
      <c r="G11" s="14"/>
      <c r="H11" s="13" t="s">
        <v>10</v>
      </c>
      <c r="I11" s="21"/>
      <c r="J11" s="22"/>
      <c r="K11" s="31"/>
      <c r="L11" s="374"/>
      <c r="M11" s="374"/>
      <c r="N11" s="374"/>
      <c r="O11" s="374"/>
      <c r="P11" s="374"/>
      <c r="Q11" s="374"/>
      <c r="R11" s="374"/>
      <c r="S11" s="374"/>
    </row>
    <row r="12" spans="1:19" ht="16.5" customHeight="1">
      <c r="A12" s="19" t="s">
        <v>11</v>
      </c>
      <c r="B12" s="194" t="s">
        <v>376</v>
      </c>
      <c r="C12" s="32"/>
      <c r="D12" s="66"/>
      <c r="E12" s="62"/>
      <c r="F12" s="62">
        <v>10</v>
      </c>
      <c r="G12" s="14"/>
      <c r="H12" s="13" t="s">
        <v>10</v>
      </c>
      <c r="I12" s="21"/>
      <c r="J12" s="22"/>
      <c r="K12" s="31"/>
      <c r="L12" s="31"/>
      <c r="M12" s="31"/>
      <c r="N12" s="17"/>
      <c r="O12" s="18"/>
      <c r="P12" s="18"/>
    </row>
    <row r="13" spans="1:19" ht="16.5" customHeight="1">
      <c r="A13" s="19" t="s">
        <v>13</v>
      </c>
      <c r="B13" s="194" t="s">
        <v>318</v>
      </c>
      <c r="C13" s="20"/>
      <c r="D13" s="66">
        <v>1</v>
      </c>
      <c r="E13" s="239">
        <f>'Pwrhse Cost Estimator'!D29</f>
        <v>592939.82256251317</v>
      </c>
      <c r="F13" s="62">
        <f t="shared" ref="F13:F29" si="0">0.001*D13*E13</f>
        <v>592.9398225625132</v>
      </c>
      <c r="G13" s="14"/>
      <c r="H13" s="142" t="s">
        <v>377</v>
      </c>
      <c r="I13" s="21"/>
      <c r="J13" s="22"/>
      <c r="K13" s="31"/>
      <c r="L13" s="31"/>
      <c r="M13" s="31"/>
      <c r="N13" s="17"/>
      <c r="O13" s="18"/>
      <c r="P13" s="18"/>
    </row>
    <row r="14" spans="1:19" ht="16.5" hidden="1" customHeight="1">
      <c r="A14" s="19" t="s">
        <v>25</v>
      </c>
      <c r="B14" s="34" t="s">
        <v>26</v>
      </c>
      <c r="C14" s="23" t="s">
        <v>27</v>
      </c>
      <c r="D14" s="189">
        <v>0</v>
      </c>
      <c r="E14" s="186">
        <v>100</v>
      </c>
      <c r="F14" s="186">
        <f t="shared" si="0"/>
        <v>0</v>
      </c>
      <c r="G14" s="187"/>
      <c r="H14" s="188" t="s">
        <v>156</v>
      </c>
      <c r="I14" s="21"/>
      <c r="J14" s="22"/>
      <c r="K14" s="17"/>
      <c r="L14" s="17"/>
      <c r="M14" s="17"/>
      <c r="N14" s="17"/>
      <c r="O14" s="18"/>
      <c r="P14" s="18"/>
    </row>
    <row r="15" spans="1:19" ht="27.75" hidden="1" customHeight="1">
      <c r="A15" s="19" t="s">
        <v>28</v>
      </c>
      <c r="B15" s="35" t="s">
        <v>29</v>
      </c>
      <c r="C15" s="23" t="s">
        <v>27</v>
      </c>
      <c r="D15" s="190">
        <v>0</v>
      </c>
      <c r="E15" s="186">
        <v>100</v>
      </c>
      <c r="F15" s="186">
        <f t="shared" si="0"/>
        <v>0</v>
      </c>
      <c r="G15" s="187"/>
      <c r="H15" s="188" t="s">
        <v>156</v>
      </c>
      <c r="I15" s="21"/>
      <c r="J15" s="22"/>
      <c r="K15" s="17"/>
      <c r="L15" s="17"/>
      <c r="M15" s="17"/>
      <c r="N15" s="17"/>
      <c r="O15" s="18"/>
      <c r="P15" s="18"/>
    </row>
    <row r="16" spans="1:19" ht="16.5" hidden="1" customHeight="1">
      <c r="A16" s="19" t="s">
        <v>30</v>
      </c>
      <c r="B16" s="35" t="s">
        <v>31</v>
      </c>
      <c r="C16" s="23" t="s">
        <v>27</v>
      </c>
      <c r="D16" s="190">
        <v>0</v>
      </c>
      <c r="E16" s="186">
        <v>100</v>
      </c>
      <c r="F16" s="186">
        <f t="shared" si="0"/>
        <v>0</v>
      </c>
      <c r="G16" s="187"/>
      <c r="H16" s="188" t="s">
        <v>156</v>
      </c>
      <c r="I16" s="18"/>
      <c r="J16" s="24"/>
      <c r="K16" s="25"/>
      <c r="L16" s="25"/>
      <c r="M16" s="25"/>
      <c r="N16" s="17"/>
      <c r="O16" s="18"/>
      <c r="P16" s="18"/>
    </row>
    <row r="17" spans="1:16" ht="16.5" hidden="1" customHeight="1">
      <c r="A17" s="21" t="s">
        <v>16</v>
      </c>
      <c r="B17" s="23" t="s">
        <v>32</v>
      </c>
      <c r="C17" s="23"/>
      <c r="D17" s="190">
        <v>0</v>
      </c>
      <c r="E17" s="186">
        <v>10000</v>
      </c>
      <c r="F17" s="186">
        <f t="shared" si="0"/>
        <v>0</v>
      </c>
      <c r="G17" s="187"/>
      <c r="H17" s="188" t="s">
        <v>10</v>
      </c>
      <c r="I17" s="21"/>
      <c r="J17" s="22"/>
      <c r="K17" s="30"/>
      <c r="L17" s="30"/>
      <c r="M17" s="30"/>
      <c r="N17" s="17"/>
      <c r="O17" s="18"/>
      <c r="P17" s="18"/>
    </row>
    <row r="18" spans="1:16" ht="16.5" hidden="1" customHeight="1">
      <c r="A18" s="19" t="s">
        <v>19</v>
      </c>
      <c r="B18" s="23" t="s">
        <v>33</v>
      </c>
      <c r="C18" s="23" t="s">
        <v>34</v>
      </c>
      <c r="D18" s="190">
        <v>0</v>
      </c>
      <c r="E18" s="186">
        <v>1000</v>
      </c>
      <c r="F18" s="186">
        <f t="shared" si="0"/>
        <v>0</v>
      </c>
      <c r="G18" s="187"/>
      <c r="H18" s="188" t="s">
        <v>156</v>
      </c>
      <c r="I18" s="21"/>
      <c r="J18" s="22"/>
      <c r="K18" s="31"/>
      <c r="L18" s="31"/>
      <c r="M18" s="30"/>
      <c r="N18" s="17"/>
      <c r="O18" s="18"/>
      <c r="P18" s="18"/>
    </row>
    <row r="19" spans="1:16" ht="16.5" hidden="1" customHeight="1">
      <c r="A19" s="19" t="s">
        <v>21</v>
      </c>
      <c r="B19" s="23" t="s">
        <v>57</v>
      </c>
      <c r="C19" s="23" t="s">
        <v>27</v>
      </c>
      <c r="D19" s="190">
        <v>0</v>
      </c>
      <c r="E19" s="186">
        <v>750</v>
      </c>
      <c r="F19" s="186">
        <f t="shared" si="0"/>
        <v>0</v>
      </c>
      <c r="G19" s="187"/>
      <c r="H19" s="188" t="s">
        <v>10</v>
      </c>
      <c r="I19" s="21"/>
      <c r="J19" s="22"/>
      <c r="K19" s="31"/>
      <c r="L19" s="31"/>
      <c r="M19" s="30"/>
      <c r="N19" s="17"/>
      <c r="O19" s="18"/>
      <c r="P19" s="18"/>
    </row>
    <row r="20" spans="1:16" ht="16.5" hidden="1" customHeight="1">
      <c r="A20" s="19" t="s">
        <v>35</v>
      </c>
      <c r="B20" s="23" t="s">
        <v>124</v>
      </c>
      <c r="C20" s="23" t="s">
        <v>23</v>
      </c>
      <c r="D20" s="190">
        <v>0</v>
      </c>
      <c r="E20" s="186">
        <v>100</v>
      </c>
      <c r="F20" s="186">
        <f t="shared" si="0"/>
        <v>0</v>
      </c>
      <c r="G20" s="187"/>
      <c r="H20" s="188" t="s">
        <v>157</v>
      </c>
      <c r="I20" s="21"/>
      <c r="J20" s="22"/>
      <c r="K20" s="31"/>
      <c r="L20" s="31"/>
      <c r="M20" s="31"/>
      <c r="N20" s="17"/>
      <c r="O20" s="18"/>
      <c r="P20" s="18"/>
    </row>
    <row r="21" spans="1:16" ht="16.5" hidden="1" customHeight="1">
      <c r="A21" s="19" t="s">
        <v>36</v>
      </c>
      <c r="B21" s="20" t="s">
        <v>37</v>
      </c>
      <c r="C21" s="32" t="s">
        <v>23</v>
      </c>
      <c r="D21" s="189">
        <v>0</v>
      </c>
      <c r="E21" s="186">
        <v>400</v>
      </c>
      <c r="F21" s="186">
        <f t="shared" si="0"/>
        <v>0</v>
      </c>
      <c r="G21" s="187"/>
      <c r="H21" s="188" t="s">
        <v>158</v>
      </c>
      <c r="I21" s="21"/>
      <c r="J21" s="22"/>
      <c r="K21" s="31"/>
      <c r="L21" s="31"/>
      <c r="M21" s="31"/>
      <c r="N21" s="17"/>
      <c r="O21" s="18"/>
      <c r="P21" s="18"/>
    </row>
    <row r="22" spans="1:16" ht="16.5" hidden="1" customHeight="1">
      <c r="A22" s="19" t="s">
        <v>25</v>
      </c>
      <c r="B22" s="20" t="s">
        <v>38</v>
      </c>
      <c r="C22" s="32"/>
      <c r="D22" s="66">
        <v>0</v>
      </c>
      <c r="E22" s="62">
        <v>150000</v>
      </c>
      <c r="F22" s="62">
        <f t="shared" si="0"/>
        <v>0</v>
      </c>
      <c r="G22" s="14"/>
      <c r="H22" s="36" t="s">
        <v>159</v>
      </c>
      <c r="I22" s="21"/>
      <c r="J22" s="22"/>
      <c r="K22" s="31"/>
      <c r="L22" s="31"/>
      <c r="M22" s="31"/>
      <c r="N22" s="17"/>
      <c r="O22" s="18"/>
      <c r="P22" s="18"/>
    </row>
    <row r="23" spans="1:16" ht="16.5" hidden="1" customHeight="1">
      <c r="A23" s="19" t="s">
        <v>39</v>
      </c>
      <c r="B23" s="23" t="s">
        <v>160</v>
      </c>
      <c r="C23" s="20"/>
      <c r="D23" s="61">
        <v>0</v>
      </c>
      <c r="E23" s="62">
        <v>15000</v>
      </c>
      <c r="F23" s="62">
        <f t="shared" si="0"/>
        <v>0</v>
      </c>
      <c r="G23" s="14"/>
      <c r="H23" s="36" t="s">
        <v>10</v>
      </c>
      <c r="J23" s="11"/>
      <c r="K23" s="11"/>
      <c r="L23" s="11"/>
      <c r="M23" s="11"/>
      <c r="N23" s="11"/>
    </row>
    <row r="24" spans="1:16" ht="33" customHeight="1">
      <c r="A24" s="19" t="s">
        <v>40</v>
      </c>
      <c r="B24" s="194" t="s">
        <v>292</v>
      </c>
      <c r="C24" s="194" t="s">
        <v>18</v>
      </c>
      <c r="D24" s="61">
        <v>300</v>
      </c>
      <c r="E24" s="62">
        <f>'Penstock Costs'!G20</f>
        <v>474.76274677500004</v>
      </c>
      <c r="F24" s="62">
        <f t="shared" si="0"/>
        <v>142.42882403250002</v>
      </c>
      <c r="G24" s="14"/>
      <c r="H24" s="142" t="s">
        <v>363</v>
      </c>
      <c r="I24" s="19"/>
      <c r="J24" s="37"/>
    </row>
    <row r="25" spans="1:16" ht="16.5" customHeight="1">
      <c r="A25" s="19" t="s">
        <v>41</v>
      </c>
      <c r="B25" s="20" t="s">
        <v>42</v>
      </c>
      <c r="C25" s="20"/>
      <c r="D25" s="61">
        <v>1</v>
      </c>
      <c r="E25" s="62">
        <v>5000</v>
      </c>
      <c r="F25" s="62">
        <f t="shared" si="0"/>
        <v>5</v>
      </c>
      <c r="G25" s="14"/>
      <c r="H25" s="13" t="s">
        <v>10</v>
      </c>
      <c r="I25" s="19"/>
      <c r="J25" s="37"/>
    </row>
    <row r="26" spans="1:16" ht="16.5" customHeight="1">
      <c r="A26" s="19" t="s">
        <v>43</v>
      </c>
      <c r="B26" s="20" t="s">
        <v>44</v>
      </c>
      <c r="C26" s="20"/>
      <c r="D26" s="61">
        <v>1</v>
      </c>
      <c r="E26" s="239">
        <v>10000</v>
      </c>
      <c r="F26" s="239">
        <f t="shared" si="0"/>
        <v>10</v>
      </c>
      <c r="G26" s="240"/>
      <c r="H26" s="142" t="s">
        <v>10</v>
      </c>
      <c r="I26" s="19"/>
      <c r="J26" s="37"/>
    </row>
    <row r="27" spans="1:16" ht="25.5" customHeight="1">
      <c r="A27" s="19" t="s">
        <v>45</v>
      </c>
      <c r="B27" s="20" t="s">
        <v>46</v>
      </c>
      <c r="C27" s="20"/>
      <c r="D27" s="61">
        <v>1</v>
      </c>
      <c r="E27" s="239">
        <v>10000</v>
      </c>
      <c r="F27" s="239">
        <f t="shared" si="0"/>
        <v>10</v>
      </c>
      <c r="G27" s="240"/>
      <c r="H27" s="142" t="s">
        <v>10</v>
      </c>
      <c r="I27" s="19"/>
      <c r="J27" s="208"/>
    </row>
    <row r="28" spans="1:16">
      <c r="A28" s="19" t="s">
        <v>47</v>
      </c>
      <c r="B28" s="20" t="s">
        <v>48</v>
      </c>
      <c r="C28" s="20"/>
      <c r="D28" s="61">
        <v>1</v>
      </c>
      <c r="E28" s="62">
        <v>5000</v>
      </c>
      <c r="F28" s="62">
        <f t="shared" si="0"/>
        <v>5</v>
      </c>
      <c r="G28" s="14"/>
      <c r="H28" s="142" t="s">
        <v>10</v>
      </c>
      <c r="I28" s="19"/>
      <c r="J28" s="37"/>
    </row>
    <row r="29" spans="1:16" ht="16.5" customHeight="1">
      <c r="A29" s="26" t="s">
        <v>49</v>
      </c>
      <c r="B29" s="192" t="s">
        <v>20</v>
      </c>
      <c r="C29" s="27"/>
      <c r="D29" s="184"/>
      <c r="E29" s="64"/>
      <c r="F29" s="64">
        <f t="shared" si="0"/>
        <v>0</v>
      </c>
      <c r="G29" s="29"/>
      <c r="H29" s="238"/>
      <c r="I29" s="19"/>
      <c r="J29" s="37"/>
    </row>
    <row r="30" spans="1:16">
      <c r="A30" s="19" t="s">
        <v>50</v>
      </c>
      <c r="B30" s="264" t="s">
        <v>385</v>
      </c>
      <c r="C30" s="19"/>
      <c r="D30" s="61"/>
      <c r="E30" s="62"/>
      <c r="F30" s="62">
        <f>SUM(F11:F29)</f>
        <v>875.36864659501316</v>
      </c>
      <c r="G30" s="14"/>
      <c r="H30" s="13"/>
      <c r="I30" s="19"/>
      <c r="J30" s="37"/>
    </row>
    <row r="31" spans="1:16" ht="16.5" customHeight="1">
      <c r="A31" s="19"/>
      <c r="B31" s="13"/>
      <c r="C31" s="13"/>
      <c r="D31" s="61"/>
      <c r="E31" s="62"/>
      <c r="F31" s="62"/>
      <c r="G31" s="14"/>
      <c r="H31" s="13"/>
      <c r="I31" s="19"/>
      <c r="J31" s="37"/>
    </row>
    <row r="32" spans="1:16" ht="16.5" customHeight="1">
      <c r="A32" s="12">
        <v>3</v>
      </c>
      <c r="B32" s="7" t="s">
        <v>52</v>
      </c>
      <c r="C32" s="7"/>
      <c r="D32" s="61"/>
      <c r="E32" s="62"/>
      <c r="F32" s="62"/>
      <c r="G32" s="14"/>
      <c r="H32" s="13"/>
      <c r="I32" s="19"/>
      <c r="J32" s="37"/>
    </row>
    <row r="33" spans="1:10">
      <c r="A33" s="19" t="s">
        <v>8</v>
      </c>
      <c r="B33" s="194" t="s">
        <v>319</v>
      </c>
      <c r="C33" s="20"/>
      <c r="D33" s="61">
        <v>1</v>
      </c>
      <c r="E33" s="62">
        <f>'TG Costs'!D28</f>
        <v>485209.76</v>
      </c>
      <c r="F33" s="62">
        <f t="shared" ref="F33:F38" si="1">0.001*D33*E33</f>
        <v>485.20976000000002</v>
      </c>
      <c r="G33" s="14"/>
      <c r="H33" s="142" t="s">
        <v>390</v>
      </c>
      <c r="I33" s="19"/>
      <c r="J33" s="37"/>
    </row>
    <row r="34" spans="1:10" ht="20.25" customHeight="1">
      <c r="A34" s="19" t="s">
        <v>11</v>
      </c>
      <c r="B34" s="23" t="s">
        <v>161</v>
      </c>
      <c r="C34" s="20"/>
      <c r="D34" s="61">
        <v>1</v>
      </c>
      <c r="E34" s="62">
        <f>SUM(F33,F35:F38)*1000*0.2</f>
        <v>120041.952</v>
      </c>
      <c r="F34" s="62">
        <f t="shared" si="1"/>
        <v>120.04195200000001</v>
      </c>
      <c r="G34" s="14"/>
      <c r="H34" s="36" t="s">
        <v>162</v>
      </c>
      <c r="I34" s="19"/>
      <c r="J34" s="37"/>
    </row>
    <row r="35" spans="1:10" ht="16.5" customHeight="1">
      <c r="A35" s="19" t="s">
        <v>13</v>
      </c>
      <c r="B35" s="20" t="s">
        <v>53</v>
      </c>
      <c r="C35" s="20"/>
      <c r="D35" s="191">
        <v>1</v>
      </c>
      <c r="E35" s="239">
        <f>'Interconnect Costs'!K10</f>
        <v>20000</v>
      </c>
      <c r="F35" s="239">
        <f t="shared" si="1"/>
        <v>20</v>
      </c>
      <c r="G35" s="240"/>
      <c r="H35" s="241" t="s">
        <v>274</v>
      </c>
      <c r="I35" s="19"/>
      <c r="J35" s="37"/>
    </row>
    <row r="36" spans="1:10" ht="16.5" customHeight="1">
      <c r="A36" s="19" t="s">
        <v>16</v>
      </c>
      <c r="B36" s="194" t="s">
        <v>320</v>
      </c>
      <c r="C36" s="20"/>
      <c r="D36" s="191">
        <v>1</v>
      </c>
      <c r="E36" s="239">
        <v>50000</v>
      </c>
      <c r="F36" s="239">
        <f t="shared" si="1"/>
        <v>50</v>
      </c>
      <c r="G36" s="240"/>
      <c r="H36" s="142" t="s">
        <v>384</v>
      </c>
      <c r="I36" s="19"/>
      <c r="J36" s="37"/>
    </row>
    <row r="37" spans="1:10">
      <c r="A37" s="19" t="s">
        <v>19</v>
      </c>
      <c r="B37" s="20" t="s">
        <v>55</v>
      </c>
      <c r="C37" s="20"/>
      <c r="D37" s="191">
        <v>1</v>
      </c>
      <c r="E37" s="239">
        <v>20000</v>
      </c>
      <c r="F37" s="239">
        <f t="shared" si="1"/>
        <v>20</v>
      </c>
      <c r="G37" s="240"/>
      <c r="H37" s="142" t="s">
        <v>10</v>
      </c>
      <c r="I37" s="19"/>
      <c r="J37" s="37"/>
    </row>
    <row r="38" spans="1:10" ht="16.5" customHeight="1">
      <c r="A38" s="26" t="s">
        <v>21</v>
      </c>
      <c r="B38" s="192" t="s">
        <v>321</v>
      </c>
      <c r="C38" s="27"/>
      <c r="D38" s="184">
        <v>1</v>
      </c>
      <c r="E38" s="64">
        <v>25000</v>
      </c>
      <c r="F38" s="64">
        <f t="shared" si="1"/>
        <v>25</v>
      </c>
      <c r="G38" s="29"/>
      <c r="H38" s="238" t="s">
        <v>10</v>
      </c>
      <c r="I38" s="19"/>
      <c r="J38" s="37"/>
    </row>
    <row r="39" spans="1:10" ht="16.5" customHeight="1">
      <c r="A39" s="19" t="s">
        <v>35</v>
      </c>
      <c r="B39" s="19" t="s">
        <v>56</v>
      </c>
      <c r="C39" s="19"/>
      <c r="D39" s="61"/>
      <c r="E39" s="62"/>
      <c r="F39" s="62">
        <f>SUM(F33:F38)</f>
        <v>720.251712</v>
      </c>
      <c r="G39" s="14"/>
      <c r="H39" s="13"/>
      <c r="I39" s="19"/>
      <c r="J39" s="37"/>
    </row>
    <row r="40" spans="1:10" ht="16.5" hidden="1" customHeight="1">
      <c r="A40" s="19"/>
      <c r="B40" s="13"/>
      <c r="C40" s="13"/>
      <c r="D40" s="61"/>
      <c r="E40" s="62"/>
      <c r="F40" s="62"/>
      <c r="G40" s="14"/>
      <c r="H40" s="13"/>
      <c r="I40" s="19"/>
      <c r="J40" s="37"/>
    </row>
    <row r="41" spans="1:10" ht="16.5" hidden="1" customHeight="1">
      <c r="A41" s="12">
        <v>4</v>
      </c>
      <c r="B41" s="7" t="s">
        <v>132</v>
      </c>
      <c r="C41" s="7"/>
      <c r="D41" s="61"/>
      <c r="E41" s="62"/>
      <c r="F41" s="62"/>
      <c r="G41" s="14"/>
      <c r="H41" s="13"/>
      <c r="I41" s="19"/>
      <c r="J41" s="37"/>
    </row>
    <row r="42" spans="1:10" ht="16.5" hidden="1" customHeight="1">
      <c r="A42" s="19" t="s">
        <v>8</v>
      </c>
      <c r="B42" s="20" t="s">
        <v>133</v>
      </c>
      <c r="C42" s="23" t="s">
        <v>23</v>
      </c>
      <c r="D42" s="61"/>
      <c r="E42" s="62">
        <v>40</v>
      </c>
      <c r="F42" s="62">
        <f>0.001*D42*E42</f>
        <v>0</v>
      </c>
      <c r="G42" s="14"/>
      <c r="H42" s="13" t="s">
        <v>10</v>
      </c>
      <c r="I42" s="19"/>
      <c r="J42" s="37"/>
    </row>
    <row r="43" spans="1:10" ht="16.5" hidden="1" customHeight="1">
      <c r="A43" s="19" t="s">
        <v>11</v>
      </c>
      <c r="B43" s="20" t="s">
        <v>24</v>
      </c>
      <c r="C43" s="23" t="s">
        <v>27</v>
      </c>
      <c r="D43" s="61"/>
      <c r="E43" s="62">
        <v>15</v>
      </c>
      <c r="F43" s="62">
        <f>0.001*D43*E43</f>
        <v>0</v>
      </c>
      <c r="G43" s="14"/>
      <c r="H43" s="13" t="s">
        <v>10</v>
      </c>
      <c r="I43" s="19"/>
      <c r="J43" s="37"/>
    </row>
    <row r="44" spans="1:10" ht="16.5" hidden="1" customHeight="1">
      <c r="A44" s="19" t="s">
        <v>13</v>
      </c>
      <c r="B44" s="20" t="s">
        <v>134</v>
      </c>
      <c r="C44" s="23" t="s">
        <v>27</v>
      </c>
      <c r="D44" s="61"/>
      <c r="E44" s="62">
        <v>450</v>
      </c>
      <c r="F44" s="62">
        <f>0.001*D44*E44</f>
        <v>0</v>
      </c>
      <c r="G44" s="14"/>
      <c r="H44" s="13" t="s">
        <v>10</v>
      </c>
      <c r="I44" s="19"/>
      <c r="J44" s="37"/>
    </row>
    <row r="45" spans="1:10" hidden="1">
      <c r="A45" s="19" t="s">
        <v>16</v>
      </c>
      <c r="B45" s="20" t="s">
        <v>135</v>
      </c>
      <c r="C45" s="20"/>
      <c r="D45" s="61"/>
      <c r="E45" s="62"/>
      <c r="F45" s="62">
        <f>0.001*D45*E45</f>
        <v>0</v>
      </c>
      <c r="G45" s="14"/>
      <c r="H45" s="36"/>
      <c r="I45" s="19"/>
      <c r="J45" s="37"/>
    </row>
    <row r="46" spans="1:10" ht="16.5" hidden="1" customHeight="1">
      <c r="A46" s="26" t="s">
        <v>19</v>
      </c>
      <c r="B46" s="27" t="s">
        <v>20</v>
      </c>
      <c r="C46" s="27"/>
      <c r="D46" s="63"/>
      <c r="E46" s="64"/>
      <c r="F46" s="64">
        <f>0.001*D46*E46</f>
        <v>0</v>
      </c>
      <c r="G46" s="29"/>
      <c r="H46" s="28"/>
      <c r="I46" s="19"/>
      <c r="J46" s="37"/>
    </row>
    <row r="47" spans="1:10" ht="16.5" hidden="1" customHeight="1">
      <c r="A47" s="19" t="s">
        <v>21</v>
      </c>
      <c r="B47" s="19" t="s">
        <v>136</v>
      </c>
      <c r="C47" s="19"/>
      <c r="D47" s="61"/>
      <c r="E47" s="62"/>
      <c r="F47" s="62">
        <f>SUM(F42:F46)</f>
        <v>0</v>
      </c>
      <c r="G47" s="14"/>
      <c r="H47" s="13"/>
      <c r="I47" s="19"/>
      <c r="J47" s="37"/>
    </row>
    <row r="48" spans="1:10" ht="16.5" hidden="1" customHeight="1">
      <c r="A48" s="19"/>
      <c r="B48" s="13"/>
      <c r="C48" s="13"/>
      <c r="D48" s="61"/>
      <c r="E48" s="62"/>
      <c r="F48" s="62"/>
      <c r="G48" s="14"/>
      <c r="H48" s="13"/>
      <c r="I48" s="19"/>
      <c r="J48" s="37"/>
    </row>
    <row r="49" spans="1:10" ht="16.5" hidden="1" customHeight="1">
      <c r="A49" s="12">
        <v>5</v>
      </c>
      <c r="B49" s="7" t="s">
        <v>137</v>
      </c>
      <c r="C49" s="7"/>
      <c r="D49" s="61"/>
      <c r="E49" s="62"/>
      <c r="F49" s="62"/>
      <c r="G49" s="14"/>
      <c r="H49" s="13"/>
      <c r="I49" s="19"/>
      <c r="J49" s="37"/>
    </row>
    <row r="50" spans="1:10" ht="16.5" hidden="1" customHeight="1">
      <c r="A50" s="39" t="s">
        <v>8</v>
      </c>
      <c r="B50" s="40" t="s">
        <v>138</v>
      </c>
      <c r="C50" s="40"/>
      <c r="D50" s="61"/>
      <c r="E50" s="62">
        <v>1000</v>
      </c>
      <c r="F50" s="62">
        <f t="shared" ref="F50:F55" si="2">0.001*D50*E50</f>
        <v>0</v>
      </c>
      <c r="G50" s="14"/>
      <c r="H50" s="13" t="s">
        <v>10</v>
      </c>
      <c r="I50" s="19"/>
      <c r="J50" s="37"/>
    </row>
    <row r="51" spans="1:10" ht="16.5" hidden="1" customHeight="1">
      <c r="A51" s="39" t="s">
        <v>11</v>
      </c>
      <c r="B51" s="23" t="s">
        <v>17</v>
      </c>
      <c r="C51" s="23" t="s">
        <v>18</v>
      </c>
      <c r="D51" s="61"/>
      <c r="E51" s="62">
        <v>5</v>
      </c>
      <c r="F51" s="62">
        <f t="shared" si="2"/>
        <v>0</v>
      </c>
      <c r="G51" s="14"/>
      <c r="H51" s="13" t="s">
        <v>139</v>
      </c>
      <c r="I51" s="19"/>
      <c r="J51" s="37"/>
    </row>
    <row r="52" spans="1:10" ht="16.5" hidden="1" customHeight="1">
      <c r="A52" s="19" t="s">
        <v>13</v>
      </c>
      <c r="B52" s="41" t="s">
        <v>140</v>
      </c>
      <c r="C52" s="40" t="s">
        <v>15</v>
      </c>
      <c r="D52" s="61"/>
      <c r="E52" s="62">
        <v>6201</v>
      </c>
      <c r="F52" s="62">
        <f t="shared" si="2"/>
        <v>0</v>
      </c>
      <c r="G52" s="14"/>
      <c r="H52" s="13" t="s">
        <v>10</v>
      </c>
      <c r="I52" s="19"/>
      <c r="J52" s="37"/>
    </row>
    <row r="53" spans="1:10" ht="16.5" hidden="1" customHeight="1">
      <c r="A53" s="19" t="s">
        <v>16</v>
      </c>
      <c r="B53" s="41" t="s">
        <v>24</v>
      </c>
      <c r="C53" s="41" t="s">
        <v>27</v>
      </c>
      <c r="D53" s="67"/>
      <c r="E53" s="62">
        <v>15</v>
      </c>
      <c r="F53" s="62">
        <f t="shared" si="2"/>
        <v>0</v>
      </c>
      <c r="G53" s="14"/>
      <c r="H53" s="13" t="s">
        <v>139</v>
      </c>
      <c r="I53" s="19"/>
      <c r="J53" s="37"/>
    </row>
    <row r="54" spans="1:10" ht="16.5" hidden="1" customHeight="1">
      <c r="A54" s="19" t="s">
        <v>19</v>
      </c>
      <c r="B54" s="41" t="s">
        <v>141</v>
      </c>
      <c r="C54" s="41" t="s">
        <v>27</v>
      </c>
      <c r="D54" s="67"/>
      <c r="E54" s="62">
        <v>40</v>
      </c>
      <c r="F54" s="62">
        <f t="shared" si="2"/>
        <v>0</v>
      </c>
      <c r="G54" s="14"/>
      <c r="H54" s="13" t="s">
        <v>139</v>
      </c>
      <c r="I54" s="19"/>
      <c r="J54" s="37"/>
    </row>
    <row r="55" spans="1:10" ht="16.5" hidden="1" customHeight="1">
      <c r="A55" s="26" t="s">
        <v>21</v>
      </c>
      <c r="B55" s="27" t="s">
        <v>20</v>
      </c>
      <c r="C55" s="27"/>
      <c r="D55" s="63"/>
      <c r="E55" s="64"/>
      <c r="F55" s="64">
        <f t="shared" si="2"/>
        <v>0</v>
      </c>
      <c r="G55" s="29"/>
      <c r="H55" s="28"/>
      <c r="I55" s="19"/>
      <c r="J55" s="37"/>
    </row>
    <row r="56" spans="1:10" ht="16.5" hidden="1" customHeight="1">
      <c r="A56" s="19" t="s">
        <v>35</v>
      </c>
      <c r="B56" s="21" t="s">
        <v>142</v>
      </c>
      <c r="C56" s="21"/>
      <c r="D56" s="61"/>
      <c r="E56" s="62"/>
      <c r="F56" s="62">
        <f>SUM(F50:F55)</f>
        <v>0</v>
      </c>
      <c r="G56" s="14"/>
      <c r="H56" s="13"/>
      <c r="I56" s="19"/>
      <c r="J56" s="37"/>
    </row>
    <row r="57" spans="1:10" ht="16.5" hidden="1" customHeight="1">
      <c r="A57" s="19"/>
      <c r="B57" s="13"/>
      <c r="C57" s="13"/>
      <c r="D57" s="61"/>
      <c r="E57" s="62"/>
      <c r="F57" s="62"/>
      <c r="G57" s="14"/>
      <c r="H57" s="13"/>
      <c r="I57" s="19"/>
      <c r="J57" s="37"/>
    </row>
    <row r="58" spans="1:10" hidden="1">
      <c r="A58" s="12">
        <v>5</v>
      </c>
      <c r="B58" s="7" t="s">
        <v>143</v>
      </c>
      <c r="C58" s="7"/>
      <c r="D58" s="61"/>
      <c r="E58" s="62"/>
      <c r="F58" s="62"/>
      <c r="G58" s="14"/>
      <c r="H58" s="13"/>
      <c r="I58" s="19"/>
      <c r="J58" s="37"/>
    </row>
    <row r="59" spans="1:10" ht="16.5" hidden="1" customHeight="1">
      <c r="A59" s="39" t="s">
        <v>8</v>
      </c>
      <c r="B59" s="40" t="s">
        <v>138</v>
      </c>
      <c r="C59" s="40"/>
      <c r="D59" s="61"/>
      <c r="E59" s="62">
        <v>1000</v>
      </c>
      <c r="F59" s="62">
        <f t="shared" ref="F59:F64" si="3">0.001*D59*E59</f>
        <v>0</v>
      </c>
      <c r="G59" s="14"/>
      <c r="H59" s="13" t="s">
        <v>10</v>
      </c>
      <c r="I59" s="19"/>
      <c r="J59" s="37"/>
    </row>
    <row r="60" spans="1:10" ht="16.5" hidden="1" customHeight="1">
      <c r="A60" s="39" t="s">
        <v>11</v>
      </c>
      <c r="B60" s="23" t="s">
        <v>17</v>
      </c>
      <c r="C60" s="23" t="s">
        <v>18</v>
      </c>
      <c r="D60" s="61"/>
      <c r="E60" s="62">
        <v>5</v>
      </c>
      <c r="F60" s="62">
        <f t="shared" si="3"/>
        <v>0</v>
      </c>
      <c r="G60" s="14"/>
      <c r="H60" s="13" t="s">
        <v>139</v>
      </c>
      <c r="I60" s="19"/>
      <c r="J60" s="37"/>
    </row>
    <row r="61" spans="1:10" ht="16.5" hidden="1" customHeight="1">
      <c r="A61" s="19" t="s">
        <v>13</v>
      </c>
      <c r="B61" s="41" t="s">
        <v>140</v>
      </c>
      <c r="C61" s="40" t="s">
        <v>15</v>
      </c>
      <c r="D61" s="61"/>
      <c r="E61" s="62">
        <v>6201</v>
      </c>
      <c r="F61" s="62">
        <f t="shared" si="3"/>
        <v>0</v>
      </c>
      <c r="G61" s="14"/>
      <c r="H61" s="13" t="s">
        <v>10</v>
      </c>
      <c r="I61" s="19"/>
      <c r="J61" s="37"/>
    </row>
    <row r="62" spans="1:10" ht="16.5" hidden="1" customHeight="1">
      <c r="A62" s="19" t="s">
        <v>16</v>
      </c>
      <c r="B62" s="41" t="s">
        <v>24</v>
      </c>
      <c r="C62" s="41" t="s">
        <v>27</v>
      </c>
      <c r="D62" s="67"/>
      <c r="E62" s="62">
        <v>15</v>
      </c>
      <c r="F62" s="62">
        <f t="shared" si="3"/>
        <v>0</v>
      </c>
      <c r="G62" s="14"/>
      <c r="H62" s="13" t="s">
        <v>139</v>
      </c>
      <c r="I62" s="19"/>
      <c r="J62" s="37"/>
    </row>
    <row r="63" spans="1:10" hidden="1">
      <c r="A63" s="19" t="s">
        <v>19</v>
      </c>
      <c r="B63" s="41" t="s">
        <v>141</v>
      </c>
      <c r="C63" s="41" t="s">
        <v>27</v>
      </c>
      <c r="D63" s="67"/>
      <c r="E63" s="62">
        <v>40</v>
      </c>
      <c r="F63" s="62">
        <f t="shared" si="3"/>
        <v>0</v>
      </c>
      <c r="G63" s="14"/>
      <c r="H63" s="13" t="s">
        <v>139</v>
      </c>
      <c r="I63" s="19"/>
      <c r="J63" s="37"/>
    </row>
    <row r="64" spans="1:10" ht="16.5" hidden="1" customHeight="1">
      <c r="A64" s="26" t="s">
        <v>21</v>
      </c>
      <c r="B64" s="27" t="s">
        <v>20</v>
      </c>
      <c r="C64" s="27"/>
      <c r="D64" s="63"/>
      <c r="E64" s="64"/>
      <c r="F64" s="64">
        <f t="shared" si="3"/>
        <v>0</v>
      </c>
      <c r="G64" s="29"/>
      <c r="H64" s="28"/>
      <c r="I64" s="19"/>
      <c r="J64" s="37"/>
    </row>
    <row r="65" spans="1:10" ht="16.5" hidden="1" customHeight="1">
      <c r="A65" s="19" t="s">
        <v>35</v>
      </c>
      <c r="B65" s="21" t="s">
        <v>144</v>
      </c>
      <c r="C65" s="21"/>
      <c r="D65" s="61"/>
      <c r="E65" s="62"/>
      <c r="F65" s="62">
        <f>SUM(F59:F64)</f>
        <v>0</v>
      </c>
      <c r="G65" s="14"/>
      <c r="H65" s="13"/>
      <c r="I65" s="19"/>
      <c r="J65" s="37"/>
    </row>
    <row r="66" spans="1:10" ht="16.5" hidden="1" customHeight="1">
      <c r="A66" s="19"/>
      <c r="B66" s="13"/>
      <c r="C66" s="13"/>
      <c r="D66" s="61"/>
      <c r="E66" s="62"/>
      <c r="F66" s="62"/>
      <c r="G66" s="14"/>
      <c r="H66" s="13"/>
      <c r="I66" s="19"/>
      <c r="J66" s="37"/>
    </row>
    <row r="67" spans="1:10" ht="16.5" hidden="1" customHeight="1">
      <c r="A67" s="12">
        <v>7</v>
      </c>
      <c r="B67" s="7" t="s">
        <v>145</v>
      </c>
      <c r="C67" s="7"/>
      <c r="D67" s="61"/>
      <c r="E67" s="62"/>
      <c r="F67" s="62"/>
      <c r="G67" s="14"/>
      <c r="H67" s="13"/>
      <c r="I67" s="19"/>
      <c r="J67" s="37"/>
    </row>
    <row r="68" spans="1:10" ht="16.5" hidden="1" customHeight="1">
      <c r="A68" s="19" t="s">
        <v>8</v>
      </c>
      <c r="B68" s="41" t="s">
        <v>140</v>
      </c>
      <c r="C68" s="41" t="s">
        <v>15</v>
      </c>
      <c r="D68" s="61"/>
      <c r="E68" s="62">
        <v>6200</v>
      </c>
      <c r="F68" s="62">
        <f>0.001*D68*E68</f>
        <v>0</v>
      </c>
      <c r="G68" s="14"/>
      <c r="H68" s="13" t="s">
        <v>10</v>
      </c>
      <c r="I68" s="19"/>
      <c r="J68" s="37"/>
    </row>
    <row r="69" spans="1:10" ht="16.5" hidden="1" customHeight="1">
      <c r="A69" s="19" t="s">
        <v>11</v>
      </c>
      <c r="B69" s="40" t="s">
        <v>24</v>
      </c>
      <c r="C69" s="40" t="s">
        <v>27</v>
      </c>
      <c r="D69" s="67"/>
      <c r="E69" s="62">
        <v>20</v>
      </c>
      <c r="F69" s="62">
        <f>0.001*D69*E69</f>
        <v>0</v>
      </c>
      <c r="G69" s="14"/>
      <c r="H69" s="13" t="s">
        <v>146</v>
      </c>
      <c r="I69" s="19"/>
      <c r="J69" s="37"/>
    </row>
    <row r="70" spans="1:10" hidden="1">
      <c r="A70" s="19" t="s">
        <v>13</v>
      </c>
      <c r="B70" s="20" t="s">
        <v>147</v>
      </c>
      <c r="C70" s="20" t="s">
        <v>27</v>
      </c>
      <c r="D70" s="67"/>
      <c r="E70" s="62">
        <v>40</v>
      </c>
      <c r="F70" s="62">
        <f>0.001*D70*E70</f>
        <v>0</v>
      </c>
      <c r="G70" s="14"/>
      <c r="H70" s="13" t="s">
        <v>146</v>
      </c>
      <c r="I70" s="19"/>
      <c r="J70" s="37"/>
    </row>
    <row r="71" spans="1:10" ht="16.5" hidden="1" customHeight="1">
      <c r="A71" s="19" t="s">
        <v>16</v>
      </c>
      <c r="B71" s="20" t="s">
        <v>57</v>
      </c>
      <c r="C71" s="20" t="s">
        <v>27</v>
      </c>
      <c r="D71" s="61"/>
      <c r="E71" s="62">
        <v>450</v>
      </c>
      <c r="F71" s="62">
        <f>0.001*D71*E71</f>
        <v>0</v>
      </c>
      <c r="G71" s="14"/>
      <c r="H71" s="13" t="s">
        <v>10</v>
      </c>
      <c r="I71" s="19"/>
      <c r="J71" s="37"/>
    </row>
    <row r="72" spans="1:10" ht="16.5" hidden="1" customHeight="1">
      <c r="A72" s="26" t="s">
        <v>16</v>
      </c>
      <c r="B72" s="27" t="s">
        <v>20</v>
      </c>
      <c r="C72" s="27"/>
      <c r="D72" s="63"/>
      <c r="E72" s="64"/>
      <c r="F72" s="64">
        <f>0.001*D72*E72</f>
        <v>0</v>
      </c>
      <c r="G72" s="29"/>
      <c r="H72" s="28"/>
      <c r="I72" s="19"/>
      <c r="J72" s="37"/>
    </row>
    <row r="73" spans="1:10" ht="16.5" hidden="1" customHeight="1">
      <c r="A73" s="19" t="s">
        <v>19</v>
      </c>
      <c r="B73" s="39" t="s">
        <v>148</v>
      </c>
      <c r="C73" s="19"/>
      <c r="D73" s="61"/>
      <c r="E73" s="62"/>
      <c r="F73" s="62">
        <f>SUM(F68:F72)</f>
        <v>0</v>
      </c>
      <c r="G73" s="14"/>
      <c r="H73" s="13"/>
      <c r="I73" s="19"/>
      <c r="J73" s="37"/>
    </row>
    <row r="74" spans="1:10" ht="16.5" customHeight="1">
      <c r="A74" s="19"/>
      <c r="B74" s="13"/>
      <c r="C74" s="13"/>
      <c r="D74" s="61"/>
      <c r="E74" s="62"/>
      <c r="F74" s="62"/>
      <c r="G74" s="14"/>
      <c r="H74" s="13"/>
      <c r="I74" s="19"/>
      <c r="J74" s="37"/>
    </row>
    <row r="75" spans="1:10" ht="16.5" customHeight="1">
      <c r="A75" s="12">
        <v>8</v>
      </c>
      <c r="B75" s="7" t="s">
        <v>58</v>
      </c>
      <c r="C75" s="7"/>
      <c r="D75" s="61"/>
      <c r="E75" s="62"/>
      <c r="F75" s="62"/>
      <c r="G75" s="14"/>
      <c r="H75" s="13"/>
      <c r="I75" s="19"/>
      <c r="J75" s="37"/>
    </row>
    <row r="76" spans="1:10" ht="16.5" customHeight="1">
      <c r="A76" s="19" t="s">
        <v>8</v>
      </c>
      <c r="B76" s="23" t="s">
        <v>163</v>
      </c>
      <c r="C76" s="20"/>
      <c r="D76" s="61">
        <v>1</v>
      </c>
      <c r="E76" s="239">
        <v>40000</v>
      </c>
      <c r="F76" s="239">
        <f t="shared" ref="F76:F81" si="4">0.001*D76*E76</f>
        <v>40</v>
      </c>
      <c r="G76" s="240"/>
      <c r="H76" s="142" t="s">
        <v>396</v>
      </c>
      <c r="I76" s="19"/>
      <c r="J76" s="37"/>
    </row>
    <row r="77" spans="1:10" ht="16.5" customHeight="1">
      <c r="A77" s="19" t="s">
        <v>11</v>
      </c>
      <c r="B77" s="20" t="s">
        <v>59</v>
      </c>
      <c r="C77" s="20"/>
      <c r="D77" s="191">
        <v>0</v>
      </c>
      <c r="E77" s="239">
        <v>20000</v>
      </c>
      <c r="F77" s="239">
        <f t="shared" si="4"/>
        <v>0</v>
      </c>
      <c r="G77" s="240"/>
      <c r="H77" s="142" t="s">
        <v>245</v>
      </c>
      <c r="I77" s="19"/>
      <c r="J77" s="37"/>
    </row>
    <row r="78" spans="1:10" ht="16.5" customHeight="1">
      <c r="A78" s="19" t="s">
        <v>13</v>
      </c>
      <c r="B78" s="20" t="s">
        <v>60</v>
      </c>
      <c r="C78" s="20"/>
      <c r="D78" s="61">
        <v>0</v>
      </c>
      <c r="E78" s="62">
        <v>5000</v>
      </c>
      <c r="F78" s="62">
        <f t="shared" si="4"/>
        <v>0</v>
      </c>
      <c r="G78" s="14"/>
      <c r="H78" s="142" t="s">
        <v>378</v>
      </c>
      <c r="I78" s="19"/>
      <c r="J78" s="37"/>
    </row>
    <row r="79" spans="1:10" ht="16.5" customHeight="1">
      <c r="A79" s="39" t="s">
        <v>16</v>
      </c>
      <c r="B79" s="23" t="s">
        <v>61</v>
      </c>
      <c r="C79" s="23" t="s">
        <v>15</v>
      </c>
      <c r="D79" s="191">
        <v>1.5</v>
      </c>
      <c r="E79" s="239">
        <v>60000</v>
      </c>
      <c r="F79" s="239">
        <f t="shared" si="4"/>
        <v>90</v>
      </c>
      <c r="G79" s="240"/>
      <c r="H79" s="142" t="s">
        <v>400</v>
      </c>
      <c r="I79" s="19"/>
      <c r="J79" s="37"/>
    </row>
    <row r="80" spans="1:10" ht="16.5" customHeight="1">
      <c r="A80" s="39" t="s">
        <v>19</v>
      </c>
      <c r="B80" s="20" t="s">
        <v>62</v>
      </c>
      <c r="C80" s="20"/>
      <c r="D80" s="61">
        <v>1</v>
      </c>
      <c r="E80" s="62">
        <v>20000</v>
      </c>
      <c r="F80" s="62">
        <f t="shared" si="4"/>
        <v>20</v>
      </c>
      <c r="G80" s="14"/>
      <c r="H80" s="13" t="s">
        <v>10</v>
      </c>
      <c r="I80" s="19"/>
      <c r="J80" s="37"/>
    </row>
    <row r="81" spans="1:10" ht="16.5" customHeight="1">
      <c r="A81" s="42" t="s">
        <v>21</v>
      </c>
      <c r="B81" s="27" t="s">
        <v>149</v>
      </c>
      <c r="C81" s="27"/>
      <c r="D81" s="63">
        <v>1</v>
      </c>
      <c r="E81" s="64">
        <v>7500</v>
      </c>
      <c r="F81" s="64">
        <f t="shared" si="4"/>
        <v>7.5</v>
      </c>
      <c r="G81" s="29"/>
      <c r="H81" s="28" t="s">
        <v>10</v>
      </c>
      <c r="I81" s="19"/>
      <c r="J81" s="37"/>
    </row>
    <row r="82" spans="1:10" ht="16.5" customHeight="1">
      <c r="A82" s="39" t="s">
        <v>35</v>
      </c>
      <c r="B82" s="39" t="s">
        <v>63</v>
      </c>
      <c r="C82" s="13"/>
      <c r="D82" s="61"/>
      <c r="E82" s="62"/>
      <c r="F82" s="62">
        <f>SUM(F76:F81)</f>
        <v>157.5</v>
      </c>
      <c r="G82" s="14"/>
      <c r="H82" s="13"/>
      <c r="I82" s="19"/>
      <c r="J82" s="37"/>
    </row>
    <row r="83" spans="1:10" ht="16.5" customHeight="1">
      <c r="A83" s="19"/>
      <c r="B83" s="13"/>
      <c r="C83" s="13"/>
      <c r="D83" s="61"/>
      <c r="E83" s="62"/>
      <c r="F83" s="62"/>
      <c r="G83" s="14"/>
      <c r="H83" s="13"/>
      <c r="I83" s="19"/>
      <c r="J83" s="37"/>
    </row>
    <row r="84" spans="1:10" ht="16.5" customHeight="1">
      <c r="A84" s="12">
        <v>9</v>
      </c>
      <c r="B84" s="7" t="s">
        <v>247</v>
      </c>
      <c r="C84" s="7"/>
      <c r="D84" s="61"/>
      <c r="E84" s="62"/>
      <c r="F84" s="62"/>
      <c r="G84" s="14"/>
      <c r="H84" s="13"/>
      <c r="I84" s="19"/>
      <c r="J84" s="37"/>
    </row>
    <row r="85" spans="1:10" ht="16.5" customHeight="1">
      <c r="A85" s="19" t="s">
        <v>8</v>
      </c>
      <c r="B85" s="172" t="s">
        <v>248</v>
      </c>
      <c r="C85" s="41" t="s">
        <v>64</v>
      </c>
      <c r="D85" s="191">
        <v>3</v>
      </c>
      <c r="E85" s="239">
        <v>50000</v>
      </c>
      <c r="F85" s="239">
        <f t="shared" ref="F85:F90" si="5">0.001*D85*E85</f>
        <v>150</v>
      </c>
      <c r="G85" s="240"/>
      <c r="H85" s="142" t="s">
        <v>10</v>
      </c>
      <c r="I85" s="19"/>
      <c r="J85" s="37"/>
    </row>
    <row r="86" spans="1:10" ht="16.5" customHeight="1">
      <c r="A86" s="19" t="s">
        <v>11</v>
      </c>
      <c r="B86" s="41" t="s">
        <v>65</v>
      </c>
      <c r="C86" s="41" t="s">
        <v>64</v>
      </c>
      <c r="D86" s="191">
        <v>2.5</v>
      </c>
      <c r="E86" s="239">
        <v>75000</v>
      </c>
      <c r="F86" s="239">
        <f t="shared" si="5"/>
        <v>187.5</v>
      </c>
      <c r="G86" s="240"/>
      <c r="H86" s="142" t="s">
        <v>397</v>
      </c>
      <c r="I86" s="19"/>
      <c r="J86" s="37"/>
    </row>
    <row r="87" spans="1:10" ht="16.5" customHeight="1">
      <c r="A87" s="19" t="s">
        <v>13</v>
      </c>
      <c r="B87" s="172" t="s">
        <v>249</v>
      </c>
      <c r="C87" s="41"/>
      <c r="D87" s="191">
        <v>1</v>
      </c>
      <c r="E87" s="239">
        <v>50000</v>
      </c>
      <c r="F87" s="239">
        <f t="shared" si="5"/>
        <v>50</v>
      </c>
      <c r="G87" s="240"/>
      <c r="H87" s="142" t="s">
        <v>10</v>
      </c>
      <c r="I87" s="19"/>
      <c r="J87" s="37"/>
    </row>
    <row r="88" spans="1:10">
      <c r="A88" s="19" t="s">
        <v>16</v>
      </c>
      <c r="B88" s="172" t="s">
        <v>250</v>
      </c>
      <c r="C88" s="41"/>
      <c r="D88" s="191">
        <v>1</v>
      </c>
      <c r="E88" s="239">
        <v>25000</v>
      </c>
      <c r="F88" s="239">
        <f t="shared" si="5"/>
        <v>25</v>
      </c>
      <c r="G88" s="240"/>
      <c r="H88" s="142" t="s">
        <v>10</v>
      </c>
      <c r="I88" s="19"/>
      <c r="J88" s="37"/>
    </row>
    <row r="89" spans="1:10" ht="16.5" customHeight="1">
      <c r="A89" s="19" t="s">
        <v>19</v>
      </c>
      <c r="B89" s="41" t="s">
        <v>66</v>
      </c>
      <c r="C89" s="41"/>
      <c r="D89" s="191">
        <v>1</v>
      </c>
      <c r="E89" s="239">
        <v>25000</v>
      </c>
      <c r="F89" s="239">
        <f t="shared" si="5"/>
        <v>25</v>
      </c>
      <c r="G89" s="240"/>
      <c r="H89" s="142" t="s">
        <v>10</v>
      </c>
      <c r="I89" s="19"/>
      <c r="J89" s="37"/>
    </row>
    <row r="90" spans="1:10" ht="16.5" customHeight="1">
      <c r="A90" s="26" t="s">
        <v>21</v>
      </c>
      <c r="B90" s="192" t="s">
        <v>251</v>
      </c>
      <c r="C90" s="27"/>
      <c r="D90" s="184">
        <v>1</v>
      </c>
      <c r="E90" s="242">
        <v>50000</v>
      </c>
      <c r="F90" s="242">
        <f t="shared" si="5"/>
        <v>50</v>
      </c>
      <c r="G90" s="243"/>
      <c r="H90" s="238" t="s">
        <v>273</v>
      </c>
      <c r="I90" s="19"/>
      <c r="J90" s="37"/>
    </row>
    <row r="91" spans="1:10" ht="16.5" customHeight="1">
      <c r="A91" s="19" t="s">
        <v>35</v>
      </c>
      <c r="B91" s="185" t="s">
        <v>322</v>
      </c>
      <c r="C91" s="21"/>
      <c r="D91" s="61"/>
      <c r="E91" s="62"/>
      <c r="F91" s="62">
        <f>SUM(F85:F90)</f>
        <v>487.5</v>
      </c>
      <c r="G91" s="14"/>
      <c r="H91" s="13"/>
      <c r="I91" s="19"/>
      <c r="J91" s="37"/>
    </row>
    <row r="92" spans="1:10" ht="16.5" customHeight="1">
      <c r="A92" s="19"/>
      <c r="B92" s="13"/>
      <c r="C92" s="13"/>
      <c r="D92" s="61"/>
      <c r="E92" s="62"/>
      <c r="F92" s="62"/>
      <c r="G92" s="14"/>
      <c r="H92" s="13"/>
      <c r="I92" s="19"/>
      <c r="J92" s="37"/>
    </row>
    <row r="93" spans="1:10" ht="16.5" customHeight="1">
      <c r="A93" s="12">
        <v>10</v>
      </c>
      <c r="B93" s="7" t="s">
        <v>67</v>
      </c>
      <c r="C93" s="7"/>
      <c r="D93" s="61"/>
      <c r="E93" s="62"/>
      <c r="F93" s="62"/>
      <c r="G93" s="14"/>
      <c r="H93" s="13"/>
      <c r="I93" s="19"/>
      <c r="J93" s="37"/>
    </row>
    <row r="94" spans="1:10" ht="16.5" customHeight="1">
      <c r="A94" s="19" t="s">
        <v>8</v>
      </c>
      <c r="B94" s="41" t="s">
        <v>68</v>
      </c>
      <c r="C94" s="41"/>
      <c r="D94" s="69">
        <v>1</v>
      </c>
      <c r="E94" s="66">
        <v>5000</v>
      </c>
      <c r="F94" s="62">
        <f>0.001*D94*E94</f>
        <v>5</v>
      </c>
      <c r="G94" s="14"/>
      <c r="H94" s="13" t="s">
        <v>10</v>
      </c>
      <c r="I94" s="19"/>
      <c r="J94" s="37"/>
    </row>
    <row r="95" spans="1:10">
      <c r="A95" s="19" t="s">
        <v>11</v>
      </c>
      <c r="B95" s="41" t="s">
        <v>69</v>
      </c>
      <c r="C95" s="41"/>
      <c r="D95" s="246">
        <v>1</v>
      </c>
      <c r="E95" s="247">
        <v>20000</v>
      </c>
      <c r="F95" s="239">
        <f>0.001*D95*E95</f>
        <v>20</v>
      </c>
      <c r="G95" s="240"/>
      <c r="H95" s="176" t="s">
        <v>290</v>
      </c>
      <c r="I95" s="19"/>
      <c r="J95" s="37"/>
    </row>
    <row r="96" spans="1:10" ht="16.5" customHeight="1">
      <c r="A96" s="19" t="s">
        <v>13</v>
      </c>
      <c r="B96" s="41" t="s">
        <v>70</v>
      </c>
      <c r="C96" s="41"/>
      <c r="D96" s="69">
        <v>1</v>
      </c>
      <c r="E96" s="66">
        <v>5000</v>
      </c>
      <c r="F96" s="62">
        <f>0.001*D96*E96</f>
        <v>5</v>
      </c>
      <c r="G96" s="14"/>
      <c r="H96" s="13" t="s">
        <v>10</v>
      </c>
      <c r="I96" s="19"/>
      <c r="J96" s="37"/>
    </row>
    <row r="97" spans="1:10" ht="15.75" customHeight="1">
      <c r="A97" s="19" t="s">
        <v>16</v>
      </c>
      <c r="B97" s="41" t="s">
        <v>71</v>
      </c>
      <c r="C97" s="41"/>
      <c r="D97" s="69">
        <v>1</v>
      </c>
      <c r="E97" s="66">
        <v>10000</v>
      </c>
      <c r="F97" s="62">
        <f>0.001*D97*E97</f>
        <v>10</v>
      </c>
      <c r="G97" s="14"/>
      <c r="H97" s="13" t="s">
        <v>10</v>
      </c>
      <c r="I97" s="19"/>
      <c r="J97" s="37"/>
    </row>
    <row r="98" spans="1:10" ht="16.5" customHeight="1">
      <c r="A98" s="26" t="s">
        <v>19</v>
      </c>
      <c r="B98" s="27" t="s">
        <v>20</v>
      </c>
      <c r="C98" s="27"/>
      <c r="D98" s="63"/>
      <c r="E98" s="64"/>
      <c r="F98" s="64">
        <f>0.001*D98*E98</f>
        <v>0</v>
      </c>
      <c r="G98" s="29"/>
      <c r="H98" s="28"/>
      <c r="I98" s="19"/>
      <c r="J98" s="37"/>
    </row>
    <row r="99" spans="1:10" ht="16.5" customHeight="1">
      <c r="A99" s="19" t="s">
        <v>21</v>
      </c>
      <c r="B99" s="39" t="s">
        <v>72</v>
      </c>
      <c r="C99" s="39"/>
      <c r="D99" s="61"/>
      <c r="E99" s="62"/>
      <c r="F99" s="62">
        <f>SUM(F94:F98)</f>
        <v>40</v>
      </c>
      <c r="G99" s="14"/>
      <c r="H99" s="13"/>
      <c r="I99" s="19"/>
      <c r="J99" s="37"/>
    </row>
    <row r="100" spans="1:10" ht="16.5" customHeight="1">
      <c r="A100" s="13"/>
      <c r="B100" s="13"/>
      <c r="C100" s="13"/>
      <c r="D100" s="61"/>
      <c r="E100" s="62"/>
      <c r="F100" s="62"/>
      <c r="G100" s="14"/>
      <c r="H100" s="13"/>
      <c r="I100" s="19"/>
      <c r="J100" s="37"/>
    </row>
    <row r="101" spans="1:10" ht="16.5" customHeight="1">
      <c r="A101" s="12">
        <v>11</v>
      </c>
      <c r="B101" s="7" t="s">
        <v>73</v>
      </c>
      <c r="C101" s="7"/>
      <c r="D101" s="61"/>
      <c r="E101" s="62"/>
      <c r="F101" s="62"/>
      <c r="G101" s="14"/>
      <c r="H101" s="13"/>
      <c r="I101" s="19"/>
      <c r="J101" s="37"/>
    </row>
    <row r="102" spans="1:10" ht="16.5" customHeight="1">
      <c r="A102" s="19" t="s">
        <v>8</v>
      </c>
      <c r="B102" s="20" t="s">
        <v>14</v>
      </c>
      <c r="C102" s="20" t="s">
        <v>15</v>
      </c>
      <c r="D102" s="191">
        <v>1</v>
      </c>
      <c r="E102" s="239">
        <v>6200</v>
      </c>
      <c r="F102" s="239">
        <f>0.001*D102*E102</f>
        <v>6.2</v>
      </c>
      <c r="G102" s="240"/>
      <c r="H102" s="142" t="s">
        <v>10</v>
      </c>
      <c r="I102" s="19"/>
      <c r="J102" s="37"/>
    </row>
    <row r="103" spans="1:10" ht="16.5" customHeight="1">
      <c r="A103" s="19" t="s">
        <v>11</v>
      </c>
      <c r="B103" s="20" t="s">
        <v>74</v>
      </c>
      <c r="C103" s="20"/>
      <c r="D103" s="191">
        <v>1</v>
      </c>
      <c r="E103" s="239">
        <f>'Interconnect Costs'!K6</f>
        <v>52000</v>
      </c>
      <c r="F103" s="239">
        <f>0.001*D103*E103</f>
        <v>52</v>
      </c>
      <c r="G103" s="240"/>
      <c r="H103" s="142" t="s">
        <v>274</v>
      </c>
      <c r="I103" s="19"/>
      <c r="J103" s="37"/>
    </row>
    <row r="104" spans="1:10" ht="16.5" customHeight="1">
      <c r="A104" s="19" t="s">
        <v>13</v>
      </c>
      <c r="B104" s="20" t="s">
        <v>75</v>
      </c>
      <c r="C104" s="20"/>
      <c r="D104" s="191">
        <v>1</v>
      </c>
      <c r="E104" s="239">
        <v>10000</v>
      </c>
      <c r="F104" s="239">
        <f>0.001*D104*E104</f>
        <v>10</v>
      </c>
      <c r="G104" s="240"/>
      <c r="H104" s="142" t="s">
        <v>10</v>
      </c>
      <c r="I104" s="19"/>
      <c r="J104" s="37"/>
    </row>
    <row r="105" spans="1:10" ht="32.25" customHeight="1">
      <c r="A105" s="19" t="s">
        <v>13</v>
      </c>
      <c r="B105" s="20" t="s">
        <v>76</v>
      </c>
      <c r="C105" s="20"/>
      <c r="D105" s="191">
        <v>1</v>
      </c>
      <c r="E105" s="239">
        <f>'Interconnect Costs'!K7+'Interconnect Costs'!K8+'Interconnect Costs'!K9</f>
        <v>50000</v>
      </c>
      <c r="F105" s="239">
        <f>0.001*D105*E105</f>
        <v>50</v>
      </c>
      <c r="G105" s="240"/>
      <c r="H105" s="142" t="s">
        <v>274</v>
      </c>
      <c r="I105" s="19"/>
      <c r="J105" s="37"/>
    </row>
    <row r="106" spans="1:10" ht="16.5" customHeight="1">
      <c r="A106" s="26" t="s">
        <v>16</v>
      </c>
      <c r="B106" s="192" t="s">
        <v>248</v>
      </c>
      <c r="C106" s="27"/>
      <c r="D106" s="184">
        <v>1</v>
      </c>
      <c r="E106" s="242">
        <v>20000</v>
      </c>
      <c r="F106" s="242">
        <f>0.001*D106*E106</f>
        <v>20</v>
      </c>
      <c r="G106" s="243"/>
      <c r="H106" s="238" t="s">
        <v>10</v>
      </c>
      <c r="I106" s="19"/>
      <c r="J106" s="37"/>
    </row>
    <row r="107" spans="1:10">
      <c r="A107" s="19" t="s">
        <v>21</v>
      </c>
      <c r="B107" s="19" t="s">
        <v>77</v>
      </c>
      <c r="C107" s="19"/>
      <c r="D107" s="191"/>
      <c r="E107" s="239"/>
      <c r="F107" s="239">
        <f>SUM(F102:F106)</f>
        <v>138.19999999999999</v>
      </c>
      <c r="G107" s="240"/>
      <c r="H107" s="142"/>
      <c r="I107" s="19"/>
      <c r="J107" s="37"/>
    </row>
    <row r="108" spans="1:10" ht="16.5" customHeight="1">
      <c r="A108" s="13"/>
      <c r="B108" s="13"/>
      <c r="C108" s="13"/>
      <c r="D108" s="61"/>
      <c r="E108" s="62"/>
      <c r="F108" s="62"/>
      <c r="G108" s="14"/>
      <c r="H108" s="13"/>
      <c r="I108" s="19"/>
      <c r="J108" s="37"/>
    </row>
    <row r="109" spans="1:10" ht="16.5" customHeight="1">
      <c r="A109" s="12">
        <v>12</v>
      </c>
      <c r="B109" s="7" t="s">
        <v>78</v>
      </c>
      <c r="C109" s="7"/>
      <c r="D109" s="61"/>
      <c r="E109" s="62"/>
      <c r="F109" s="62"/>
      <c r="G109" s="14"/>
      <c r="H109" s="13"/>
      <c r="I109" s="19"/>
      <c r="J109" s="37"/>
    </row>
    <row r="110" spans="1:10" ht="16.5" customHeight="1">
      <c r="A110" s="19" t="s">
        <v>8</v>
      </c>
      <c r="B110" s="20" t="s">
        <v>79</v>
      </c>
      <c r="C110" s="20"/>
      <c r="D110" s="61">
        <v>1</v>
      </c>
      <c r="E110" s="62">
        <f>F130*1000*0.08</f>
        <v>203889.62868760107</v>
      </c>
      <c r="F110" s="62">
        <f t="shared" ref="F110:F115" si="6">0.001*D110*E110</f>
        <v>203.88962868760109</v>
      </c>
      <c r="G110" s="14"/>
      <c r="H110" s="36" t="s">
        <v>164</v>
      </c>
      <c r="I110" s="19"/>
      <c r="J110" s="37"/>
    </row>
    <row r="111" spans="1:10">
      <c r="A111" s="19" t="s">
        <v>11</v>
      </c>
      <c r="B111" s="20" t="s">
        <v>80</v>
      </c>
      <c r="C111" s="20"/>
      <c r="D111" s="61">
        <v>1</v>
      </c>
      <c r="E111" s="62">
        <v>25000</v>
      </c>
      <c r="F111" s="62">
        <f t="shared" si="6"/>
        <v>25</v>
      </c>
      <c r="G111" s="14"/>
      <c r="H111" s="13" t="s">
        <v>10</v>
      </c>
      <c r="I111" s="19"/>
      <c r="J111" s="37"/>
    </row>
    <row r="112" spans="1:10" ht="16.5" customHeight="1">
      <c r="A112" s="19" t="s">
        <v>13</v>
      </c>
      <c r="B112" s="20" t="s">
        <v>81</v>
      </c>
      <c r="C112" s="20"/>
      <c r="D112" s="61">
        <v>1</v>
      </c>
      <c r="E112" s="62">
        <v>20000</v>
      </c>
      <c r="F112" s="62">
        <f t="shared" si="6"/>
        <v>20</v>
      </c>
      <c r="G112" s="14"/>
      <c r="H112" s="13" t="s">
        <v>82</v>
      </c>
      <c r="I112" s="19"/>
      <c r="J112" s="37"/>
    </row>
    <row r="113" spans="1:10" ht="16.5" customHeight="1">
      <c r="A113" s="19" t="s">
        <v>16</v>
      </c>
      <c r="B113" s="20" t="s">
        <v>83</v>
      </c>
      <c r="C113" s="20"/>
      <c r="D113" s="61">
        <v>1</v>
      </c>
      <c r="E113" s="62">
        <v>35000</v>
      </c>
      <c r="F113" s="62">
        <f t="shared" si="6"/>
        <v>35</v>
      </c>
      <c r="G113" s="14"/>
      <c r="H113" s="13" t="s">
        <v>91</v>
      </c>
      <c r="I113" s="19"/>
      <c r="J113" s="37"/>
    </row>
    <row r="114" spans="1:10">
      <c r="A114" s="19" t="s">
        <v>19</v>
      </c>
      <c r="B114" s="20" t="s">
        <v>84</v>
      </c>
      <c r="C114" s="20"/>
      <c r="D114" s="61">
        <v>1</v>
      </c>
      <c r="E114" s="62">
        <v>100000</v>
      </c>
      <c r="F114" s="62">
        <f t="shared" si="6"/>
        <v>100</v>
      </c>
      <c r="G114" s="14"/>
      <c r="H114" s="13" t="s">
        <v>10</v>
      </c>
      <c r="I114" s="19"/>
      <c r="J114" s="37"/>
    </row>
    <row r="115" spans="1:10" ht="16.5" customHeight="1">
      <c r="A115" s="26" t="s">
        <v>21</v>
      </c>
      <c r="B115" s="27" t="s">
        <v>20</v>
      </c>
      <c r="C115" s="27"/>
      <c r="D115" s="63"/>
      <c r="E115" s="64"/>
      <c r="F115" s="64">
        <f t="shared" si="6"/>
        <v>0</v>
      </c>
      <c r="G115" s="29"/>
      <c r="H115" s="28"/>
      <c r="I115" s="19"/>
      <c r="J115" s="37"/>
    </row>
    <row r="116" spans="1:10" ht="16.5" customHeight="1">
      <c r="A116" s="19" t="s">
        <v>35</v>
      </c>
      <c r="B116" s="19" t="s">
        <v>85</v>
      </c>
      <c r="C116" s="19"/>
      <c r="D116" s="61"/>
      <c r="E116" s="62"/>
      <c r="F116" s="62">
        <f>SUM(F110:F115)</f>
        <v>383.88962868760109</v>
      </c>
      <c r="G116" s="14"/>
      <c r="H116" s="13"/>
      <c r="I116" s="19"/>
      <c r="J116" s="37"/>
    </row>
    <row r="117" spans="1:10" ht="16.5" customHeight="1">
      <c r="A117" s="13"/>
      <c r="B117" s="13"/>
      <c r="C117" s="13"/>
      <c r="D117" s="61"/>
      <c r="E117" s="62"/>
      <c r="F117" s="62"/>
      <c r="G117" s="14"/>
      <c r="H117" s="13"/>
      <c r="I117" s="19"/>
      <c r="J117" s="37"/>
    </row>
    <row r="118" spans="1:10" ht="16.5" customHeight="1">
      <c r="A118" s="12"/>
      <c r="B118" s="7" t="s">
        <v>86</v>
      </c>
      <c r="C118" s="7"/>
      <c r="D118" s="61"/>
      <c r="E118" s="62"/>
      <c r="F118" s="62"/>
      <c r="G118" s="14"/>
      <c r="H118" s="13"/>
      <c r="I118" s="19"/>
      <c r="J118" s="37"/>
    </row>
    <row r="119" spans="1:10" ht="16.5" customHeight="1">
      <c r="A119" s="12">
        <f>A$2</f>
        <v>1</v>
      </c>
      <c r="B119" s="13" t="str">
        <f>B$2</f>
        <v>General</v>
      </c>
      <c r="C119" s="13"/>
      <c r="D119" s="61"/>
      <c r="E119" s="62"/>
      <c r="F119" s="62">
        <f>F$8</f>
        <v>129.80000000000001</v>
      </c>
      <c r="G119" s="14"/>
      <c r="H119" s="13"/>
      <c r="I119" s="19"/>
      <c r="J119" s="37"/>
    </row>
    <row r="120" spans="1:10" ht="16.5" customHeight="1">
      <c r="A120" s="12">
        <f>A$10</f>
        <v>2</v>
      </c>
      <c r="B120" s="13" t="str">
        <f>B$10</f>
        <v>Powerhouse/Intake</v>
      </c>
      <c r="C120" s="13"/>
      <c r="D120" s="61"/>
      <c r="E120" s="62"/>
      <c r="F120" s="62">
        <f>F$30</f>
        <v>875.36864659501316</v>
      </c>
      <c r="G120" s="14"/>
      <c r="H120" s="13"/>
      <c r="I120" s="19"/>
      <c r="J120" s="37"/>
    </row>
    <row r="121" spans="1:10" ht="16.5" customHeight="1">
      <c r="A121" s="12">
        <f>A$32</f>
        <v>3</v>
      </c>
      <c r="B121" s="13" t="str">
        <f>B$32</f>
        <v>Equipment</v>
      </c>
      <c r="C121" s="13"/>
      <c r="D121" s="61"/>
      <c r="E121" s="62"/>
      <c r="F121" s="62">
        <f>F$39</f>
        <v>720.251712</v>
      </c>
      <c r="G121" s="14"/>
      <c r="H121" s="13"/>
      <c r="I121" s="19"/>
      <c r="J121" s="37"/>
    </row>
    <row r="122" spans="1:10" ht="16.5" hidden="1" customHeight="1">
      <c r="A122" s="43">
        <f>A$41</f>
        <v>4</v>
      </c>
      <c r="B122" s="11" t="str">
        <f>B$41</f>
        <v xml:space="preserve">Spillway </v>
      </c>
      <c r="E122" s="66"/>
      <c r="F122" s="66">
        <f>F$47</f>
        <v>0</v>
      </c>
      <c r="G122" s="44"/>
      <c r="I122" s="19"/>
      <c r="J122" s="37"/>
    </row>
    <row r="123" spans="1:10" ht="16.5" hidden="1" customHeight="1">
      <c r="A123" s="43">
        <f>A$49</f>
        <v>5</v>
      </c>
      <c r="B123" s="11" t="str">
        <f>B$49</f>
        <v>East (left) Dike</v>
      </c>
      <c r="E123" s="66"/>
      <c r="F123" s="66">
        <f>F$56</f>
        <v>0</v>
      </c>
      <c r="G123" s="33"/>
      <c r="I123" s="19"/>
      <c r="J123" s="37"/>
    </row>
    <row r="124" spans="1:10" ht="16.5" hidden="1" customHeight="1">
      <c r="A124" s="43">
        <f>A$58</f>
        <v>5</v>
      </c>
      <c r="B124" s="11" t="str">
        <f>B$58</f>
        <v>West (right) Dike</v>
      </c>
      <c r="E124" s="66"/>
      <c r="F124" s="66">
        <f>F$65</f>
        <v>0</v>
      </c>
      <c r="G124" s="33"/>
      <c r="I124" s="19"/>
      <c r="J124" s="37"/>
    </row>
    <row r="125" spans="1:10" ht="16.5" hidden="1" customHeight="1">
      <c r="A125" s="43">
        <f>A$67</f>
        <v>7</v>
      </c>
      <c r="B125" s="11" t="str">
        <f>B$67</f>
        <v>Canal</v>
      </c>
      <c r="E125" s="66"/>
      <c r="F125" s="66">
        <f>F$73</f>
        <v>0</v>
      </c>
      <c r="G125" s="33"/>
      <c r="I125" s="19"/>
      <c r="J125" s="37"/>
    </row>
    <row r="126" spans="1:10" ht="16.5" customHeight="1">
      <c r="A126" s="43">
        <f>A$75</f>
        <v>8</v>
      </c>
      <c r="B126" s="11" t="str">
        <f>B$75</f>
        <v>PM&amp;E Measures</v>
      </c>
      <c r="E126" s="66"/>
      <c r="F126" s="66">
        <f>F$82</f>
        <v>157.5</v>
      </c>
      <c r="G126" s="33"/>
      <c r="I126" s="19"/>
      <c r="J126" s="37"/>
    </row>
    <row r="127" spans="1:10" ht="16.5" customHeight="1">
      <c r="A127" s="43">
        <f>A$84</f>
        <v>9</v>
      </c>
      <c r="B127" s="176" t="s">
        <v>247</v>
      </c>
      <c r="E127" s="66"/>
      <c r="F127" s="66">
        <f>F$91</f>
        <v>487.5</v>
      </c>
      <c r="G127" s="33"/>
      <c r="I127" s="19"/>
      <c r="J127" s="37"/>
    </row>
    <row r="128" spans="1:10" ht="16.5" customHeight="1">
      <c r="A128" s="43">
        <f>A$93</f>
        <v>10</v>
      </c>
      <c r="B128" s="11" t="str">
        <f>B$93</f>
        <v>Land &amp; Land Rights</v>
      </c>
      <c r="E128" s="66"/>
      <c r="F128" s="66">
        <f>F$99</f>
        <v>40</v>
      </c>
      <c r="G128" s="33"/>
      <c r="I128" s="19"/>
      <c r="J128" s="37"/>
    </row>
    <row r="129" spans="1:10" ht="16.5" customHeight="1">
      <c r="A129" s="45">
        <f>A$101</f>
        <v>11</v>
      </c>
      <c r="B129" s="46" t="str">
        <f>B$101</f>
        <v>Interconnection</v>
      </c>
      <c r="C129" s="46"/>
      <c r="D129" s="70"/>
      <c r="E129" s="71"/>
      <c r="F129" s="71">
        <f>F$107</f>
        <v>138.19999999999999</v>
      </c>
      <c r="G129" s="47"/>
      <c r="H129" s="183"/>
      <c r="I129" s="19"/>
      <c r="J129" s="37"/>
    </row>
    <row r="130" spans="1:10" ht="16.5" customHeight="1">
      <c r="A130" s="43"/>
      <c r="B130" s="48" t="s">
        <v>87</v>
      </c>
      <c r="C130" s="48"/>
      <c r="E130" s="66"/>
      <c r="F130" s="66">
        <f>SUM(F119:F129)</f>
        <v>2548.6203585950129</v>
      </c>
      <c r="G130" s="33"/>
      <c r="I130" s="19"/>
      <c r="J130" s="37"/>
    </row>
    <row r="131" spans="1:10" ht="16.5" customHeight="1">
      <c r="A131" s="43"/>
      <c r="B131" s="48"/>
      <c r="C131" s="48"/>
      <c r="E131" s="66"/>
      <c r="F131" s="66"/>
      <c r="G131" s="33"/>
      <c r="I131" s="19"/>
      <c r="J131" s="37"/>
    </row>
    <row r="132" spans="1:10" ht="16.5" customHeight="1">
      <c r="A132" s="45">
        <f>A$109</f>
        <v>12</v>
      </c>
      <c r="B132" s="46" t="str">
        <f>B$109</f>
        <v>Indirect Costs</v>
      </c>
      <c r="C132" s="46"/>
      <c r="D132" s="70"/>
      <c r="E132" s="71"/>
      <c r="F132" s="71">
        <f>F$116</f>
        <v>383.88962868760109</v>
      </c>
      <c r="G132" s="47"/>
      <c r="H132" s="46"/>
      <c r="I132" s="19"/>
      <c r="J132" s="37"/>
    </row>
    <row r="133" spans="1:10" ht="16.5" customHeight="1">
      <c r="A133" s="43"/>
      <c r="B133" s="48" t="s">
        <v>88</v>
      </c>
      <c r="C133" s="48"/>
      <c r="E133" s="66"/>
      <c r="F133" s="72">
        <f>F$130+F$132</f>
        <v>2932.509987282614</v>
      </c>
      <c r="G133" s="49"/>
      <c r="I133" s="19"/>
      <c r="J133" s="37"/>
    </row>
    <row r="134" spans="1:10" ht="16.5" customHeight="1">
      <c r="A134" s="43"/>
      <c r="B134" s="48"/>
      <c r="C134" s="48"/>
      <c r="E134" s="66"/>
      <c r="F134" s="72"/>
      <c r="G134" s="49"/>
      <c r="I134" s="19"/>
      <c r="J134" s="37"/>
    </row>
    <row r="135" spans="1:10" ht="16.5" customHeight="1">
      <c r="A135" s="45">
        <v>13</v>
      </c>
      <c r="B135" s="46" t="s">
        <v>89</v>
      </c>
      <c r="C135" s="46"/>
      <c r="D135" s="73">
        <f>F$133*1000</f>
        <v>2932509.9872826142</v>
      </c>
      <c r="E135" s="245">
        <v>0.2</v>
      </c>
      <c r="F135" s="71">
        <f>D135*E135*0.001</f>
        <v>586.50199745652287</v>
      </c>
      <c r="G135" s="47"/>
      <c r="H135" s="46"/>
      <c r="I135" s="19"/>
      <c r="J135" s="37"/>
    </row>
    <row r="136" spans="1:10" ht="16.5" customHeight="1">
      <c r="E136" s="66"/>
      <c r="F136" s="66"/>
      <c r="G136" s="33"/>
      <c r="I136" s="19"/>
      <c r="J136" s="37"/>
    </row>
    <row r="137" spans="1:10" ht="16.5" customHeight="1">
      <c r="A137" s="12"/>
      <c r="B137" s="50" t="s">
        <v>90</v>
      </c>
      <c r="C137" s="7"/>
      <c r="D137" s="61"/>
      <c r="E137" s="62"/>
      <c r="F137" s="60">
        <f>F$133+F$135</f>
        <v>3519.011984739137</v>
      </c>
      <c r="G137" s="8"/>
      <c r="H137" s="13"/>
      <c r="I137" s="19"/>
      <c r="J137" s="37"/>
    </row>
    <row r="138" spans="1:10">
      <c r="I138" s="19"/>
      <c r="J138" s="37"/>
    </row>
    <row r="139" spans="1:10">
      <c r="I139" s="19"/>
      <c r="J139" s="37"/>
    </row>
    <row r="140" spans="1:10">
      <c r="I140" s="19"/>
      <c r="J140" s="37"/>
    </row>
    <row r="141" spans="1:10">
      <c r="I141" s="19"/>
      <c r="J141" s="37"/>
    </row>
    <row r="142" spans="1:10">
      <c r="I142" s="19"/>
      <c r="J142" s="37"/>
    </row>
    <row r="143" spans="1:10">
      <c r="I143" s="19"/>
      <c r="J143" s="37"/>
    </row>
    <row r="144" spans="1:10">
      <c r="I144" s="19"/>
      <c r="J144" s="37"/>
    </row>
    <row r="145" spans="9:10">
      <c r="I145" s="19"/>
      <c r="J145" s="37"/>
    </row>
    <row r="146" spans="9:10">
      <c r="I146" s="19"/>
      <c r="J146" s="37"/>
    </row>
    <row r="147" spans="9:10">
      <c r="I147" s="19"/>
      <c r="J147" s="37"/>
    </row>
    <row r="148" spans="9:10">
      <c r="I148" s="19"/>
      <c r="J148" s="37"/>
    </row>
    <row r="149" spans="9:10">
      <c r="I149" s="19"/>
      <c r="J149" s="37"/>
    </row>
    <row r="150" spans="9:10">
      <c r="I150" s="19"/>
      <c r="J150" s="37"/>
    </row>
    <row r="151" spans="9:10">
      <c r="I151" s="19"/>
      <c r="J151" s="37"/>
    </row>
    <row r="152" spans="9:10">
      <c r="I152" s="19"/>
      <c r="J152" s="37"/>
    </row>
    <row r="153" spans="9:10">
      <c r="I153" s="19"/>
      <c r="J153" s="37"/>
    </row>
    <row r="154" spans="9:10">
      <c r="I154" s="19"/>
      <c r="J154" s="37"/>
    </row>
    <row r="155" spans="9:10">
      <c r="I155" s="19"/>
      <c r="J155" s="37"/>
    </row>
    <row r="156" spans="9:10">
      <c r="I156" s="19"/>
      <c r="J156" s="37"/>
    </row>
    <row r="157" spans="9:10">
      <c r="I157" s="19"/>
      <c r="J157" s="37"/>
    </row>
    <row r="158" spans="9:10">
      <c r="I158" s="19"/>
      <c r="J158" s="37"/>
    </row>
    <row r="159" spans="9:10">
      <c r="I159" s="19"/>
      <c r="J159" s="37"/>
    </row>
    <row r="160" spans="9:10">
      <c r="I160" s="19"/>
      <c r="J160" s="37"/>
    </row>
    <row r="161" spans="9:10">
      <c r="I161" s="19"/>
      <c r="J161" s="37"/>
    </row>
    <row r="162" spans="9:10">
      <c r="I162" s="19"/>
      <c r="J162" s="37"/>
    </row>
    <row r="163" spans="9:10">
      <c r="I163" s="19"/>
      <c r="J163" s="37"/>
    </row>
    <row r="164" spans="9:10">
      <c r="I164" s="19"/>
      <c r="J164" s="37"/>
    </row>
    <row r="165" spans="9:10">
      <c r="I165" s="19"/>
      <c r="J165" s="37"/>
    </row>
    <row r="166" spans="9:10">
      <c r="I166" s="19"/>
      <c r="J166" s="37"/>
    </row>
    <row r="167" spans="9:10">
      <c r="I167" s="19"/>
      <c r="J167" s="37"/>
    </row>
    <row r="168" spans="9:10">
      <c r="I168" s="19"/>
      <c r="J168" s="37"/>
    </row>
    <row r="169" spans="9:10">
      <c r="I169" s="19"/>
      <c r="J169" s="37"/>
    </row>
    <row r="170" spans="9:10">
      <c r="I170" s="19"/>
      <c r="J170" s="37"/>
    </row>
    <row r="171" spans="9:10">
      <c r="I171" s="19"/>
      <c r="J171" s="37"/>
    </row>
    <row r="172" spans="9:10">
      <c r="I172" s="19"/>
      <c r="J172" s="37"/>
    </row>
    <row r="173" spans="9:10">
      <c r="I173" s="19"/>
      <c r="J173" s="37"/>
    </row>
    <row r="174" spans="9:10">
      <c r="I174" s="19"/>
      <c r="J174" s="37"/>
    </row>
  </sheetData>
  <mergeCells count="1">
    <mergeCell ref="L3:S11"/>
  </mergeCells>
  <conditionalFormatting sqref="I24:N65536 I3:I5 I17:I22 N12:N22 L3 I7:I15 K18:L22 M20:M22 K5 K8:K15 L12:M15">
    <cfRule type="cellIs" dxfId="13" priority="1" stopIfTrue="1" operator="equal">
      <formula>0</formula>
    </cfRule>
  </conditionalFormatting>
  <printOptions horizontalCentered="1" gridLines="1"/>
  <pageMargins left="0.75" right="0.75" top="0.63" bottom="0.63" header="0.32" footer="0.45"/>
  <pageSetup scale="61" fitToHeight="2" orientation="portrait" r:id="rId1"/>
  <headerFooter alignWithMargins="0">
    <oddHeader>&amp;L&amp;"Arial,Bold Italic"&amp;11&amp;A&amp;C&amp;"Arial,Bold Italic"&amp;11Ten Mile River Hydro
Phase I Feasibility Study&amp;R&amp;"Arial,Bold Italic"&amp;11For Planning Purposes Only</oddHeader>
    <oddFooter>&amp;L&amp;F&amp;R&amp;G</oddFooter>
  </headerFooter>
  <rowBreaks count="1" manualBreakCount="1">
    <brk id="92" max="7" man="1"/>
  </rowBreaks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theme="5"/>
  </sheetPr>
  <dimension ref="A1:S174"/>
  <sheetViews>
    <sheetView view="pageBreakPreview" zoomScale="75" zoomScaleNormal="100" zoomScaleSheetLayoutView="75" workbookViewId="0">
      <selection activeCell="H79" sqref="H79"/>
    </sheetView>
  </sheetViews>
  <sheetFormatPr defaultRowHeight="12.75"/>
  <cols>
    <col min="1" max="1" width="4.85546875" style="11" customWidth="1"/>
    <col min="2" max="2" width="32.5703125" style="11" customWidth="1"/>
    <col min="3" max="3" width="9.140625" style="11"/>
    <col min="4" max="4" width="12.42578125" style="69" customWidth="1"/>
    <col min="5" max="5" width="9.42578125" style="69" customWidth="1"/>
    <col min="6" max="6" width="12.85546875" style="69" customWidth="1"/>
    <col min="7" max="7" width="3.140625" style="11" customWidth="1"/>
    <col min="8" max="8" width="60.7109375" style="11" customWidth="1"/>
    <col min="9" max="9" width="4.85546875" style="11" customWidth="1"/>
    <col min="10" max="10" width="12.28515625" style="51" customWidth="1"/>
    <col min="11" max="11" width="12.42578125" style="10" customWidth="1"/>
    <col min="12" max="12" width="12.5703125" style="10" customWidth="1"/>
    <col min="13" max="14" width="9.140625" style="10"/>
    <col min="15" max="16384" width="9.140625" style="11"/>
  </cols>
  <sheetData>
    <row r="1" spans="1:19" ht="25.5">
      <c r="A1" s="7" t="s">
        <v>0</v>
      </c>
      <c r="B1" s="7" t="s">
        <v>1</v>
      </c>
      <c r="C1" s="7" t="s">
        <v>2</v>
      </c>
      <c r="D1" s="12" t="s">
        <v>3</v>
      </c>
      <c r="E1" s="60" t="s">
        <v>4</v>
      </c>
      <c r="F1" s="60" t="s">
        <v>5</v>
      </c>
      <c r="G1" s="8"/>
      <c r="H1" s="7" t="s">
        <v>6</v>
      </c>
      <c r="I1" s="7"/>
      <c r="J1" s="9"/>
      <c r="L1" s="10" t="s">
        <v>270</v>
      </c>
    </row>
    <row r="2" spans="1:19" ht="16.5" customHeight="1">
      <c r="A2" s="12">
        <v>1</v>
      </c>
      <c r="B2" s="7" t="s">
        <v>7</v>
      </c>
      <c r="C2" s="7"/>
      <c r="D2" s="61"/>
      <c r="E2" s="62"/>
      <c r="F2" s="62"/>
      <c r="G2" s="14"/>
      <c r="H2" s="13"/>
      <c r="I2" s="15"/>
      <c r="J2" s="16"/>
      <c r="K2" s="170"/>
      <c r="L2" s="141" t="s">
        <v>228</v>
      </c>
      <c r="M2" s="17"/>
      <c r="N2" s="17"/>
      <c r="O2" s="18"/>
      <c r="P2" s="18"/>
    </row>
    <row r="3" spans="1:19" ht="16.5" customHeight="1">
      <c r="A3" s="19" t="s">
        <v>8</v>
      </c>
      <c r="B3" s="20" t="s">
        <v>9</v>
      </c>
      <c r="C3" s="20"/>
      <c r="D3" s="61">
        <v>1</v>
      </c>
      <c r="E3" s="62">
        <v>25000</v>
      </c>
      <c r="F3" s="62">
        <f>0.001*D3*E3</f>
        <v>25</v>
      </c>
      <c r="G3" s="14"/>
      <c r="H3" s="13" t="s">
        <v>10</v>
      </c>
      <c r="I3" s="21"/>
      <c r="J3" s="22"/>
      <c r="L3" s="374" t="s">
        <v>306</v>
      </c>
      <c r="M3" s="374"/>
      <c r="N3" s="374"/>
      <c r="O3" s="374"/>
      <c r="P3" s="374"/>
      <c r="Q3" s="374"/>
      <c r="R3" s="374"/>
      <c r="S3" s="374"/>
    </row>
    <row r="4" spans="1:19" ht="16.5" customHeight="1">
      <c r="A4" s="19" t="s">
        <v>11</v>
      </c>
      <c r="B4" s="20" t="s">
        <v>12</v>
      </c>
      <c r="C4" s="20"/>
      <c r="D4" s="61">
        <v>1</v>
      </c>
      <c r="E4" s="62">
        <v>10000</v>
      </c>
      <c r="F4" s="62">
        <f>0.001*D4*E4</f>
        <v>10</v>
      </c>
      <c r="G4" s="14"/>
      <c r="H4" s="13" t="s">
        <v>10</v>
      </c>
      <c r="I4" s="21"/>
      <c r="J4" s="22"/>
      <c r="K4" s="140"/>
      <c r="L4" s="374"/>
      <c r="M4" s="374"/>
      <c r="N4" s="374"/>
      <c r="O4" s="374"/>
      <c r="P4" s="374"/>
      <c r="Q4" s="374"/>
      <c r="R4" s="374"/>
      <c r="S4" s="374"/>
    </row>
    <row r="5" spans="1:19" ht="18.75" customHeight="1">
      <c r="A5" s="19" t="s">
        <v>13</v>
      </c>
      <c r="B5" s="23" t="s">
        <v>14</v>
      </c>
      <c r="C5" s="23" t="s">
        <v>15</v>
      </c>
      <c r="D5" s="61">
        <v>4</v>
      </c>
      <c r="E5" s="62">
        <v>6200</v>
      </c>
      <c r="F5" s="62">
        <f>0.001*D5*E5</f>
        <v>24.8</v>
      </c>
      <c r="G5" s="14"/>
      <c r="H5" s="142" t="s">
        <v>285</v>
      </c>
      <c r="I5" s="21"/>
      <c r="J5" s="22"/>
      <c r="K5" s="17"/>
      <c r="L5" s="374"/>
      <c r="M5" s="374"/>
      <c r="N5" s="374"/>
      <c r="O5" s="374"/>
      <c r="P5" s="374"/>
      <c r="Q5" s="374"/>
      <c r="R5" s="374"/>
      <c r="S5" s="374"/>
    </row>
    <row r="6" spans="1:19" ht="16.5" customHeight="1">
      <c r="A6" s="19" t="s">
        <v>16</v>
      </c>
      <c r="B6" s="23" t="s">
        <v>17</v>
      </c>
      <c r="C6" s="23" t="s">
        <v>18</v>
      </c>
      <c r="D6" s="61">
        <v>2000</v>
      </c>
      <c r="E6" s="62">
        <v>10</v>
      </c>
      <c r="F6" s="62">
        <f>0.001*D6*E6</f>
        <v>20</v>
      </c>
      <c r="G6" s="14"/>
      <c r="H6" s="142" t="s">
        <v>285</v>
      </c>
      <c r="I6" s="18"/>
      <c r="J6" s="24"/>
      <c r="K6" s="25"/>
      <c r="L6" s="374"/>
      <c r="M6" s="374"/>
      <c r="N6" s="374"/>
      <c r="O6" s="374"/>
      <c r="P6" s="374"/>
      <c r="Q6" s="374"/>
      <c r="R6" s="374"/>
      <c r="S6" s="374"/>
    </row>
    <row r="7" spans="1:19" ht="16.5" customHeight="1">
      <c r="A7" s="26" t="s">
        <v>19</v>
      </c>
      <c r="B7" s="27" t="s">
        <v>151</v>
      </c>
      <c r="C7" s="27"/>
      <c r="D7" s="184">
        <v>1</v>
      </c>
      <c r="E7" s="64">
        <f>'Phase I Dam Repairs'!D3*1000</f>
        <v>50000</v>
      </c>
      <c r="F7" s="64">
        <f>0.001*D7*E7</f>
        <v>50</v>
      </c>
      <c r="G7" s="29"/>
      <c r="H7" s="238" t="s">
        <v>286</v>
      </c>
      <c r="I7" s="21"/>
      <c r="J7" s="22"/>
      <c r="K7" s="30"/>
      <c r="L7" s="374"/>
      <c r="M7" s="374"/>
      <c r="N7" s="374"/>
      <c r="O7" s="374"/>
      <c r="P7" s="374"/>
      <c r="Q7" s="374"/>
      <c r="R7" s="374"/>
      <c r="S7" s="374"/>
    </row>
    <row r="8" spans="1:19" ht="16.5" customHeight="1">
      <c r="A8" s="19" t="s">
        <v>21</v>
      </c>
      <c r="B8" s="19" t="s">
        <v>22</v>
      </c>
      <c r="C8" s="19"/>
      <c r="D8" s="61"/>
      <c r="E8" s="62"/>
      <c r="F8" s="62">
        <f>SUM(F2:F7)</f>
        <v>129.80000000000001</v>
      </c>
      <c r="G8" s="14"/>
      <c r="H8" s="13"/>
      <c r="I8" s="21"/>
      <c r="J8" s="22"/>
      <c r="K8" s="31"/>
      <c r="L8" s="374"/>
      <c r="M8" s="374"/>
      <c r="N8" s="374"/>
      <c r="O8" s="374"/>
      <c r="P8" s="374"/>
      <c r="Q8" s="374"/>
      <c r="R8" s="374"/>
      <c r="S8" s="374"/>
    </row>
    <row r="9" spans="1:19" ht="16.5" customHeight="1">
      <c r="A9" s="19"/>
      <c r="B9" s="13"/>
      <c r="C9" s="13"/>
      <c r="D9" s="61"/>
      <c r="E9" s="62"/>
      <c r="F9" s="62"/>
      <c r="G9" s="14"/>
      <c r="H9" s="13"/>
      <c r="I9" s="21"/>
      <c r="J9" s="22"/>
      <c r="K9" s="31"/>
      <c r="L9" s="374"/>
      <c r="M9" s="374"/>
      <c r="N9" s="374"/>
      <c r="O9" s="374"/>
      <c r="P9" s="374"/>
      <c r="Q9" s="374"/>
      <c r="R9" s="374"/>
      <c r="S9" s="374"/>
    </row>
    <row r="10" spans="1:19" ht="16.5" customHeight="1">
      <c r="A10" s="12">
        <v>2</v>
      </c>
      <c r="B10" s="7" t="s">
        <v>130</v>
      </c>
      <c r="C10" s="7"/>
      <c r="D10" s="65"/>
      <c r="E10" s="62"/>
      <c r="F10" s="62"/>
      <c r="G10" s="14"/>
      <c r="H10" s="13"/>
      <c r="I10" s="21"/>
      <c r="J10" s="22"/>
      <c r="K10" s="31"/>
      <c r="L10" s="374"/>
      <c r="M10" s="374"/>
      <c r="N10" s="374"/>
      <c r="O10" s="374"/>
      <c r="P10" s="374"/>
      <c r="Q10" s="374"/>
      <c r="R10" s="374"/>
      <c r="S10" s="374"/>
    </row>
    <row r="11" spans="1:19" ht="16.5" customHeight="1">
      <c r="A11" s="19" t="s">
        <v>8</v>
      </c>
      <c r="B11" s="20" t="s">
        <v>114</v>
      </c>
      <c r="C11" s="32"/>
      <c r="D11" s="66"/>
      <c r="E11" s="62"/>
      <c r="F11" s="62">
        <v>100</v>
      </c>
      <c r="G11" s="14"/>
      <c r="H11" s="13" t="s">
        <v>10</v>
      </c>
      <c r="I11" s="21"/>
      <c r="J11" s="22"/>
      <c r="K11" s="31"/>
      <c r="L11" s="374"/>
      <c r="M11" s="374"/>
      <c r="N11" s="374"/>
      <c r="O11" s="374"/>
      <c r="P11" s="374"/>
      <c r="Q11" s="374"/>
      <c r="R11" s="374"/>
      <c r="S11" s="374"/>
    </row>
    <row r="12" spans="1:19" ht="16.5" customHeight="1">
      <c r="A12" s="19" t="s">
        <v>11</v>
      </c>
      <c r="B12" s="194" t="s">
        <v>376</v>
      </c>
      <c r="C12" s="32"/>
      <c r="D12" s="66"/>
      <c r="E12" s="62"/>
      <c r="F12" s="62">
        <v>10</v>
      </c>
      <c r="G12" s="14"/>
      <c r="H12" s="13" t="s">
        <v>10</v>
      </c>
      <c r="I12" s="21"/>
      <c r="J12" s="22"/>
      <c r="K12" s="31"/>
      <c r="L12" s="31"/>
      <c r="M12" s="31"/>
      <c r="N12" s="17"/>
      <c r="O12" s="18"/>
      <c r="P12" s="18"/>
    </row>
    <row r="13" spans="1:19" ht="16.5" customHeight="1">
      <c r="A13" s="19" t="s">
        <v>13</v>
      </c>
      <c r="B13" s="194" t="s">
        <v>318</v>
      </c>
      <c r="C13" s="20"/>
      <c r="D13" s="66">
        <v>1</v>
      </c>
      <c r="E13" s="62">
        <f>'Pwrhse Cost Estimator'!D30</f>
        <v>677586.02465811581</v>
      </c>
      <c r="F13" s="62">
        <f t="shared" ref="F13:F29" si="0">0.001*D13*E13</f>
        <v>677.58602465811578</v>
      </c>
      <c r="G13" s="14"/>
      <c r="H13" s="142" t="s">
        <v>377</v>
      </c>
      <c r="I13" s="21"/>
      <c r="J13" s="22"/>
      <c r="K13" s="31"/>
      <c r="L13" s="31"/>
      <c r="M13" s="31"/>
      <c r="N13" s="17"/>
      <c r="O13" s="18"/>
      <c r="P13" s="18"/>
    </row>
    <row r="14" spans="1:19" ht="16.5" hidden="1" customHeight="1">
      <c r="A14" s="19" t="s">
        <v>25</v>
      </c>
      <c r="B14" s="34" t="s">
        <v>26</v>
      </c>
      <c r="C14" s="23" t="s">
        <v>27</v>
      </c>
      <c r="D14" s="189">
        <v>0</v>
      </c>
      <c r="E14" s="186">
        <v>100</v>
      </c>
      <c r="F14" s="186">
        <f t="shared" si="0"/>
        <v>0</v>
      </c>
      <c r="G14" s="187"/>
      <c r="H14" s="188" t="s">
        <v>156</v>
      </c>
      <c r="I14" s="21"/>
      <c r="J14" s="22"/>
      <c r="K14" s="17"/>
      <c r="L14" s="17"/>
      <c r="M14" s="17"/>
      <c r="N14" s="17"/>
      <c r="O14" s="18"/>
      <c r="P14" s="18"/>
    </row>
    <row r="15" spans="1:19" ht="27.75" hidden="1" customHeight="1">
      <c r="A15" s="19" t="s">
        <v>28</v>
      </c>
      <c r="B15" s="35" t="s">
        <v>29</v>
      </c>
      <c r="C15" s="23" t="s">
        <v>27</v>
      </c>
      <c r="D15" s="190">
        <v>0</v>
      </c>
      <c r="E15" s="186">
        <v>100</v>
      </c>
      <c r="F15" s="186">
        <f t="shared" si="0"/>
        <v>0</v>
      </c>
      <c r="G15" s="187"/>
      <c r="H15" s="188" t="s">
        <v>156</v>
      </c>
      <c r="I15" s="21"/>
      <c r="J15" s="22"/>
      <c r="K15" s="17"/>
      <c r="L15" s="17"/>
      <c r="M15" s="17"/>
      <c r="N15" s="17"/>
      <c r="O15" s="18"/>
      <c r="P15" s="18"/>
    </row>
    <row r="16" spans="1:19" ht="16.5" hidden="1" customHeight="1">
      <c r="A16" s="19" t="s">
        <v>30</v>
      </c>
      <c r="B16" s="35" t="s">
        <v>31</v>
      </c>
      <c r="C16" s="23" t="s">
        <v>27</v>
      </c>
      <c r="D16" s="190">
        <v>0</v>
      </c>
      <c r="E16" s="186">
        <v>100</v>
      </c>
      <c r="F16" s="186">
        <f t="shared" si="0"/>
        <v>0</v>
      </c>
      <c r="G16" s="187"/>
      <c r="H16" s="188" t="s">
        <v>156</v>
      </c>
      <c r="I16" s="18"/>
      <c r="J16" s="24"/>
      <c r="K16" s="25"/>
      <c r="L16" s="25"/>
      <c r="M16" s="25"/>
      <c r="N16" s="17"/>
      <c r="O16" s="18"/>
      <c r="P16" s="18"/>
    </row>
    <row r="17" spans="1:16" ht="16.5" hidden="1" customHeight="1">
      <c r="A17" s="21" t="s">
        <v>16</v>
      </c>
      <c r="B17" s="23" t="s">
        <v>32</v>
      </c>
      <c r="C17" s="23"/>
      <c r="D17" s="190">
        <v>0</v>
      </c>
      <c r="E17" s="186">
        <v>10000</v>
      </c>
      <c r="F17" s="186">
        <f t="shared" si="0"/>
        <v>0</v>
      </c>
      <c r="G17" s="187"/>
      <c r="H17" s="188" t="s">
        <v>10</v>
      </c>
      <c r="I17" s="21"/>
      <c r="J17" s="22"/>
      <c r="K17" s="30"/>
      <c r="L17" s="30"/>
      <c r="M17" s="30"/>
      <c r="N17" s="17"/>
      <c r="O17" s="18"/>
      <c r="P17" s="18"/>
    </row>
    <row r="18" spans="1:16" ht="16.5" hidden="1" customHeight="1">
      <c r="A18" s="19" t="s">
        <v>19</v>
      </c>
      <c r="B18" s="23" t="s">
        <v>33</v>
      </c>
      <c r="C18" s="23" t="s">
        <v>34</v>
      </c>
      <c r="D18" s="190">
        <v>0</v>
      </c>
      <c r="E18" s="186">
        <v>1000</v>
      </c>
      <c r="F18" s="186">
        <f t="shared" si="0"/>
        <v>0</v>
      </c>
      <c r="G18" s="187"/>
      <c r="H18" s="188" t="s">
        <v>156</v>
      </c>
      <c r="I18" s="21"/>
      <c r="J18" s="22"/>
      <c r="K18" s="31"/>
      <c r="L18" s="31"/>
      <c r="M18" s="30"/>
      <c r="N18" s="17"/>
      <c r="O18" s="18"/>
      <c r="P18" s="18"/>
    </row>
    <row r="19" spans="1:16" ht="16.5" hidden="1" customHeight="1">
      <c r="A19" s="19" t="s">
        <v>21</v>
      </c>
      <c r="B19" s="23" t="s">
        <v>57</v>
      </c>
      <c r="C19" s="23" t="s">
        <v>27</v>
      </c>
      <c r="D19" s="190">
        <v>0</v>
      </c>
      <c r="E19" s="186">
        <v>750</v>
      </c>
      <c r="F19" s="186">
        <f t="shared" si="0"/>
        <v>0</v>
      </c>
      <c r="G19" s="187"/>
      <c r="H19" s="188" t="s">
        <v>10</v>
      </c>
      <c r="I19" s="21"/>
      <c r="J19" s="22"/>
      <c r="K19" s="31"/>
      <c r="L19" s="31"/>
      <c r="M19" s="30"/>
      <c r="N19" s="17"/>
      <c r="O19" s="18"/>
      <c r="P19" s="18"/>
    </row>
    <row r="20" spans="1:16" ht="16.5" hidden="1" customHeight="1">
      <c r="A20" s="19" t="s">
        <v>35</v>
      </c>
      <c r="B20" s="23" t="s">
        <v>124</v>
      </c>
      <c r="C20" s="23" t="s">
        <v>23</v>
      </c>
      <c r="D20" s="190">
        <v>0</v>
      </c>
      <c r="E20" s="186">
        <v>100</v>
      </c>
      <c r="F20" s="186">
        <f t="shared" si="0"/>
        <v>0</v>
      </c>
      <c r="G20" s="187"/>
      <c r="H20" s="188" t="s">
        <v>157</v>
      </c>
      <c r="I20" s="21"/>
      <c r="J20" s="22"/>
      <c r="K20" s="31"/>
      <c r="L20" s="31"/>
      <c r="M20" s="31"/>
      <c r="N20" s="17"/>
      <c r="O20" s="18"/>
      <c r="P20" s="18"/>
    </row>
    <row r="21" spans="1:16" ht="16.5" hidden="1" customHeight="1">
      <c r="A21" s="19" t="s">
        <v>36</v>
      </c>
      <c r="B21" s="20" t="s">
        <v>37</v>
      </c>
      <c r="C21" s="32" t="s">
        <v>23</v>
      </c>
      <c r="D21" s="189">
        <v>0</v>
      </c>
      <c r="E21" s="186">
        <v>400</v>
      </c>
      <c r="F21" s="186">
        <f t="shared" si="0"/>
        <v>0</v>
      </c>
      <c r="G21" s="187"/>
      <c r="H21" s="188" t="s">
        <v>158</v>
      </c>
      <c r="I21" s="21"/>
      <c r="J21" s="22"/>
      <c r="K21" s="31"/>
      <c r="L21" s="31"/>
      <c r="M21" s="31"/>
      <c r="N21" s="17"/>
      <c r="O21" s="18"/>
      <c r="P21" s="18"/>
    </row>
    <row r="22" spans="1:16" ht="16.5" hidden="1" customHeight="1">
      <c r="A22" s="19" t="s">
        <v>25</v>
      </c>
      <c r="B22" s="20" t="s">
        <v>38</v>
      </c>
      <c r="C22" s="32"/>
      <c r="D22" s="66">
        <v>0</v>
      </c>
      <c r="E22" s="62">
        <v>150000</v>
      </c>
      <c r="F22" s="62">
        <f t="shared" si="0"/>
        <v>0</v>
      </c>
      <c r="G22" s="14"/>
      <c r="H22" s="36" t="s">
        <v>159</v>
      </c>
      <c r="I22" s="21"/>
      <c r="J22" s="22"/>
      <c r="K22" s="31"/>
      <c r="L22" s="31"/>
      <c r="M22" s="31"/>
      <c r="N22" s="17"/>
      <c r="O22" s="18"/>
      <c r="P22" s="18"/>
    </row>
    <row r="23" spans="1:16" ht="16.5" hidden="1" customHeight="1">
      <c r="A23" s="19" t="s">
        <v>39</v>
      </c>
      <c r="B23" s="23" t="s">
        <v>160</v>
      </c>
      <c r="C23" s="20"/>
      <c r="D23" s="61">
        <v>0</v>
      </c>
      <c r="E23" s="62">
        <v>15000</v>
      </c>
      <c r="F23" s="62">
        <f t="shared" si="0"/>
        <v>0</v>
      </c>
      <c r="G23" s="14"/>
      <c r="H23" s="36" t="s">
        <v>10</v>
      </c>
      <c r="J23" s="11"/>
      <c r="K23" s="11"/>
      <c r="L23" s="11"/>
      <c r="M23" s="11"/>
      <c r="N23" s="11"/>
    </row>
    <row r="24" spans="1:16" ht="33" customHeight="1">
      <c r="A24" s="19" t="s">
        <v>40</v>
      </c>
      <c r="B24" s="194" t="s">
        <v>292</v>
      </c>
      <c r="C24" s="194" t="s">
        <v>18</v>
      </c>
      <c r="D24" s="61">
        <v>300</v>
      </c>
      <c r="E24" s="62">
        <f>'Penstock Costs'!G21</f>
        <v>614.02450739999995</v>
      </c>
      <c r="F24" s="62">
        <f t="shared" si="0"/>
        <v>184.20735221999999</v>
      </c>
      <c r="G24" s="14"/>
      <c r="H24" s="142" t="s">
        <v>364</v>
      </c>
      <c r="I24" s="19"/>
      <c r="J24" s="37"/>
    </row>
    <row r="25" spans="1:16" ht="16.5" customHeight="1">
      <c r="A25" s="19" t="s">
        <v>41</v>
      </c>
      <c r="B25" s="20" t="s">
        <v>42</v>
      </c>
      <c r="C25" s="20"/>
      <c r="D25" s="61">
        <v>1</v>
      </c>
      <c r="E25" s="62">
        <v>5000</v>
      </c>
      <c r="F25" s="62">
        <f t="shared" si="0"/>
        <v>5</v>
      </c>
      <c r="G25" s="14"/>
      <c r="H25" s="13" t="s">
        <v>10</v>
      </c>
      <c r="I25" s="19"/>
      <c r="J25" s="37"/>
    </row>
    <row r="26" spans="1:16" ht="16.5" customHeight="1">
      <c r="A26" s="19" t="s">
        <v>43</v>
      </c>
      <c r="B26" s="20" t="s">
        <v>44</v>
      </c>
      <c r="C26" s="20"/>
      <c r="D26" s="61">
        <v>1</v>
      </c>
      <c r="E26" s="239">
        <v>10000</v>
      </c>
      <c r="F26" s="239">
        <f t="shared" si="0"/>
        <v>10</v>
      </c>
      <c r="G26" s="240"/>
      <c r="H26" s="142" t="s">
        <v>10</v>
      </c>
      <c r="I26" s="19"/>
      <c r="J26" s="37"/>
    </row>
    <row r="27" spans="1:16" ht="25.5" customHeight="1">
      <c r="A27" s="19" t="s">
        <v>45</v>
      </c>
      <c r="B27" s="20" t="s">
        <v>46</v>
      </c>
      <c r="C27" s="20"/>
      <c r="D27" s="61">
        <v>1</v>
      </c>
      <c r="E27" s="239">
        <v>10000</v>
      </c>
      <c r="F27" s="239">
        <f t="shared" si="0"/>
        <v>10</v>
      </c>
      <c r="G27" s="240"/>
      <c r="H27" s="142" t="s">
        <v>10</v>
      </c>
      <c r="I27" s="19"/>
      <c r="J27" s="208" t="s">
        <v>11</v>
      </c>
    </row>
    <row r="28" spans="1:16">
      <c r="A28" s="19" t="s">
        <v>47</v>
      </c>
      <c r="B28" s="20" t="s">
        <v>48</v>
      </c>
      <c r="C28" s="20"/>
      <c r="D28" s="61">
        <v>1</v>
      </c>
      <c r="E28" s="62">
        <v>5000</v>
      </c>
      <c r="F28" s="62">
        <f t="shared" si="0"/>
        <v>5</v>
      </c>
      <c r="G28" s="14"/>
      <c r="H28" s="13" t="s">
        <v>10</v>
      </c>
      <c r="I28" s="19"/>
      <c r="J28" s="37"/>
    </row>
    <row r="29" spans="1:16" ht="16.5" customHeight="1">
      <c r="A29" s="26" t="s">
        <v>49</v>
      </c>
      <c r="B29" s="192" t="s">
        <v>20</v>
      </c>
      <c r="C29" s="27" t="s">
        <v>240</v>
      </c>
      <c r="D29" s="300"/>
      <c r="E29" s="301"/>
      <c r="F29" s="301">
        <f t="shared" si="0"/>
        <v>0</v>
      </c>
      <c r="G29" s="302"/>
      <c r="H29" s="338"/>
      <c r="I29" s="19"/>
      <c r="J29" s="37"/>
    </row>
    <row r="30" spans="1:16">
      <c r="A30" s="19" t="s">
        <v>50</v>
      </c>
      <c r="B30" s="264" t="s">
        <v>385</v>
      </c>
      <c r="C30" s="19"/>
      <c r="D30" s="330"/>
      <c r="E30" s="293"/>
      <c r="F30" s="293">
        <f>SUM(F11:F29)</f>
        <v>1001.7933768781157</v>
      </c>
      <c r="G30" s="319"/>
      <c r="H30" s="307"/>
      <c r="I30" s="19"/>
      <c r="J30" s="37"/>
    </row>
    <row r="31" spans="1:16" ht="16.5" customHeight="1">
      <c r="A31" s="19"/>
      <c r="B31" s="13"/>
      <c r="C31" s="13"/>
      <c r="D31" s="330"/>
      <c r="E31" s="293"/>
      <c r="F31" s="293"/>
      <c r="G31" s="319"/>
      <c r="H31" s="307"/>
      <c r="I31" s="19"/>
      <c r="J31" s="37"/>
    </row>
    <row r="32" spans="1:16" ht="16.5" customHeight="1">
      <c r="A32" s="12">
        <v>3</v>
      </c>
      <c r="B32" s="7" t="s">
        <v>52</v>
      </c>
      <c r="C32" s="7"/>
      <c r="D32" s="330"/>
      <c r="E32" s="293"/>
      <c r="F32" s="293"/>
      <c r="G32" s="319"/>
      <c r="H32" s="307"/>
      <c r="I32" s="19"/>
      <c r="J32" s="37"/>
    </row>
    <row r="33" spans="1:10" ht="15">
      <c r="A33" s="19" t="s">
        <v>8</v>
      </c>
      <c r="B33" s="194" t="s">
        <v>319</v>
      </c>
      <c r="C33" s="20"/>
      <c r="D33" s="330">
        <v>1</v>
      </c>
      <c r="E33" s="293">
        <f>'TG Costs'!D29</f>
        <v>701857.76</v>
      </c>
      <c r="F33" s="295">
        <f t="shared" ref="F33:F38" si="1">0.001*D33*E33</f>
        <v>701.85775999999998</v>
      </c>
      <c r="G33" s="331"/>
      <c r="H33" s="329" t="s">
        <v>387</v>
      </c>
      <c r="I33" s="19"/>
      <c r="J33" s="37"/>
    </row>
    <row r="34" spans="1:10" ht="20.25" customHeight="1">
      <c r="A34" s="19" t="s">
        <v>11</v>
      </c>
      <c r="B34" s="23" t="s">
        <v>161</v>
      </c>
      <c r="C34" s="20"/>
      <c r="D34" s="330">
        <v>1</v>
      </c>
      <c r="E34" s="293">
        <f>SUM(F33,F35:F38)*1000*0.2</f>
        <v>163371.55200000003</v>
      </c>
      <c r="F34" s="293">
        <f t="shared" si="1"/>
        <v>163.37155200000004</v>
      </c>
      <c r="G34" s="319"/>
      <c r="H34" s="307" t="s">
        <v>162</v>
      </c>
      <c r="I34" s="19"/>
      <c r="J34" s="37"/>
    </row>
    <row r="35" spans="1:10" ht="16.5" customHeight="1">
      <c r="A35" s="19" t="s">
        <v>13</v>
      </c>
      <c r="B35" s="20" t="s">
        <v>53</v>
      </c>
      <c r="C35" s="20"/>
      <c r="D35" s="191">
        <v>1</v>
      </c>
      <c r="E35" s="239">
        <f>'Interconnect Costs'!K10</f>
        <v>20000</v>
      </c>
      <c r="F35" s="239">
        <f t="shared" si="1"/>
        <v>20</v>
      </c>
      <c r="G35" s="240"/>
      <c r="H35" s="241" t="s">
        <v>274</v>
      </c>
      <c r="I35" s="19"/>
      <c r="J35" s="37"/>
    </row>
    <row r="36" spans="1:10" ht="16.5" customHeight="1">
      <c r="A36" s="19" t="s">
        <v>16</v>
      </c>
      <c r="B36" s="194" t="s">
        <v>320</v>
      </c>
      <c r="C36" s="20"/>
      <c r="D36" s="191">
        <v>1</v>
      </c>
      <c r="E36" s="239">
        <v>50000</v>
      </c>
      <c r="F36" s="239">
        <f t="shared" si="1"/>
        <v>50</v>
      </c>
      <c r="G36" s="240"/>
      <c r="H36" s="142" t="s">
        <v>384</v>
      </c>
      <c r="I36" s="19"/>
      <c r="J36" s="37"/>
    </row>
    <row r="37" spans="1:10">
      <c r="A37" s="19" t="s">
        <v>19</v>
      </c>
      <c r="B37" s="20" t="s">
        <v>55</v>
      </c>
      <c r="C37" s="20"/>
      <c r="D37" s="191">
        <v>1</v>
      </c>
      <c r="E37" s="239">
        <v>20000</v>
      </c>
      <c r="F37" s="239">
        <f t="shared" si="1"/>
        <v>20</v>
      </c>
      <c r="G37" s="240"/>
      <c r="H37" s="142" t="s">
        <v>10</v>
      </c>
      <c r="I37" s="19"/>
      <c r="J37" s="37"/>
    </row>
    <row r="38" spans="1:10" ht="16.5" customHeight="1">
      <c r="A38" s="26" t="s">
        <v>21</v>
      </c>
      <c r="B38" s="192" t="s">
        <v>321</v>
      </c>
      <c r="C38" s="27"/>
      <c r="D38" s="184">
        <v>1</v>
      </c>
      <c r="E38" s="64">
        <v>25000</v>
      </c>
      <c r="F38" s="64">
        <f t="shared" si="1"/>
        <v>25</v>
      </c>
      <c r="G38" s="29"/>
      <c r="H38" s="238" t="s">
        <v>10</v>
      </c>
      <c r="I38" s="19"/>
      <c r="J38" s="37"/>
    </row>
    <row r="39" spans="1:10" ht="16.5" customHeight="1">
      <c r="A39" s="19" t="s">
        <v>35</v>
      </c>
      <c r="B39" s="19" t="s">
        <v>56</v>
      </c>
      <c r="C39" s="19"/>
      <c r="D39" s="61"/>
      <c r="E39" s="62"/>
      <c r="F39" s="62">
        <f>SUM(F33:F38)</f>
        <v>980.22931200000005</v>
      </c>
      <c r="G39" s="14"/>
      <c r="H39" s="13"/>
      <c r="I39" s="19"/>
      <c r="J39" s="37"/>
    </row>
    <row r="40" spans="1:10" ht="16.5" hidden="1" customHeight="1">
      <c r="A40" s="19"/>
      <c r="B40" s="13"/>
      <c r="C40" s="13"/>
      <c r="D40" s="61"/>
      <c r="E40" s="62"/>
      <c r="F40" s="62"/>
      <c r="G40" s="14"/>
      <c r="H40" s="13"/>
      <c r="I40" s="19"/>
      <c r="J40" s="37"/>
    </row>
    <row r="41" spans="1:10" ht="16.5" hidden="1" customHeight="1">
      <c r="A41" s="12">
        <v>4</v>
      </c>
      <c r="B41" s="7" t="s">
        <v>132</v>
      </c>
      <c r="C41" s="7"/>
      <c r="D41" s="61"/>
      <c r="E41" s="62"/>
      <c r="F41" s="62"/>
      <c r="G41" s="14"/>
      <c r="H41" s="13"/>
      <c r="I41" s="19"/>
      <c r="J41" s="37"/>
    </row>
    <row r="42" spans="1:10" ht="16.5" hidden="1" customHeight="1">
      <c r="A42" s="19" t="s">
        <v>8</v>
      </c>
      <c r="B42" s="20" t="s">
        <v>133</v>
      </c>
      <c r="C42" s="23" t="s">
        <v>23</v>
      </c>
      <c r="D42" s="61"/>
      <c r="E42" s="62">
        <v>40</v>
      </c>
      <c r="F42" s="62">
        <f>0.001*D42*E42</f>
        <v>0</v>
      </c>
      <c r="G42" s="14"/>
      <c r="H42" s="13" t="s">
        <v>10</v>
      </c>
      <c r="I42" s="19"/>
      <c r="J42" s="37"/>
    </row>
    <row r="43" spans="1:10" ht="16.5" hidden="1" customHeight="1">
      <c r="A43" s="19" t="s">
        <v>11</v>
      </c>
      <c r="B43" s="20" t="s">
        <v>24</v>
      </c>
      <c r="C43" s="23" t="s">
        <v>27</v>
      </c>
      <c r="D43" s="61"/>
      <c r="E43" s="62">
        <v>15</v>
      </c>
      <c r="F43" s="62">
        <f>0.001*D43*E43</f>
        <v>0</v>
      </c>
      <c r="G43" s="14"/>
      <c r="H43" s="13" t="s">
        <v>10</v>
      </c>
      <c r="I43" s="19"/>
      <c r="J43" s="37"/>
    </row>
    <row r="44" spans="1:10" ht="16.5" hidden="1" customHeight="1">
      <c r="A44" s="19" t="s">
        <v>13</v>
      </c>
      <c r="B44" s="20" t="s">
        <v>134</v>
      </c>
      <c r="C44" s="23" t="s">
        <v>27</v>
      </c>
      <c r="D44" s="61"/>
      <c r="E44" s="62">
        <v>450</v>
      </c>
      <c r="F44" s="62">
        <f>0.001*D44*E44</f>
        <v>0</v>
      </c>
      <c r="G44" s="14"/>
      <c r="H44" s="13" t="s">
        <v>10</v>
      </c>
      <c r="I44" s="19"/>
      <c r="J44" s="37"/>
    </row>
    <row r="45" spans="1:10" hidden="1">
      <c r="A45" s="19" t="s">
        <v>16</v>
      </c>
      <c r="B45" s="20" t="s">
        <v>135</v>
      </c>
      <c r="C45" s="20"/>
      <c r="D45" s="61"/>
      <c r="E45" s="62"/>
      <c r="F45" s="62">
        <f>0.001*D45*E45</f>
        <v>0</v>
      </c>
      <c r="G45" s="14"/>
      <c r="H45" s="36"/>
      <c r="I45" s="19"/>
      <c r="J45" s="37"/>
    </row>
    <row r="46" spans="1:10" ht="16.5" hidden="1" customHeight="1">
      <c r="A46" s="26" t="s">
        <v>19</v>
      </c>
      <c r="B46" s="27" t="s">
        <v>20</v>
      </c>
      <c r="C46" s="27"/>
      <c r="D46" s="63"/>
      <c r="E46" s="64"/>
      <c r="F46" s="64">
        <f>0.001*D46*E46</f>
        <v>0</v>
      </c>
      <c r="G46" s="29"/>
      <c r="H46" s="28"/>
      <c r="I46" s="19"/>
      <c r="J46" s="37"/>
    </row>
    <row r="47" spans="1:10" ht="16.5" hidden="1" customHeight="1">
      <c r="A47" s="19" t="s">
        <v>21</v>
      </c>
      <c r="B47" s="19" t="s">
        <v>136</v>
      </c>
      <c r="C47" s="19"/>
      <c r="D47" s="61"/>
      <c r="E47" s="62"/>
      <c r="F47" s="62">
        <f>SUM(F42:F46)</f>
        <v>0</v>
      </c>
      <c r="G47" s="14"/>
      <c r="H47" s="13"/>
      <c r="I47" s="19"/>
      <c r="J47" s="37"/>
    </row>
    <row r="48" spans="1:10" ht="16.5" hidden="1" customHeight="1">
      <c r="A48" s="19"/>
      <c r="B48" s="13"/>
      <c r="C48" s="13"/>
      <c r="D48" s="61"/>
      <c r="E48" s="62"/>
      <c r="F48" s="62"/>
      <c r="G48" s="14"/>
      <c r="H48" s="13"/>
      <c r="I48" s="19"/>
      <c r="J48" s="37"/>
    </row>
    <row r="49" spans="1:10" ht="16.5" hidden="1" customHeight="1">
      <c r="A49" s="12">
        <v>5</v>
      </c>
      <c r="B49" s="7" t="s">
        <v>137</v>
      </c>
      <c r="C49" s="7"/>
      <c r="D49" s="61"/>
      <c r="E49" s="62"/>
      <c r="F49" s="62"/>
      <c r="G49" s="14"/>
      <c r="H49" s="13"/>
      <c r="I49" s="19"/>
      <c r="J49" s="37"/>
    </row>
    <row r="50" spans="1:10" ht="16.5" hidden="1" customHeight="1">
      <c r="A50" s="39" t="s">
        <v>8</v>
      </c>
      <c r="B50" s="40" t="s">
        <v>138</v>
      </c>
      <c r="C50" s="40"/>
      <c r="D50" s="61"/>
      <c r="E50" s="62">
        <v>1000</v>
      </c>
      <c r="F50" s="62">
        <f t="shared" ref="F50:F55" si="2">0.001*D50*E50</f>
        <v>0</v>
      </c>
      <c r="G50" s="14"/>
      <c r="H50" s="13" t="s">
        <v>10</v>
      </c>
      <c r="I50" s="19"/>
      <c r="J50" s="37"/>
    </row>
    <row r="51" spans="1:10" ht="16.5" hidden="1" customHeight="1">
      <c r="A51" s="39" t="s">
        <v>11</v>
      </c>
      <c r="B51" s="23" t="s">
        <v>17</v>
      </c>
      <c r="C51" s="23" t="s">
        <v>18</v>
      </c>
      <c r="D51" s="61"/>
      <c r="E51" s="62">
        <v>5</v>
      </c>
      <c r="F51" s="62">
        <f t="shared" si="2"/>
        <v>0</v>
      </c>
      <c r="G51" s="14"/>
      <c r="H51" s="13" t="s">
        <v>139</v>
      </c>
      <c r="I51" s="19"/>
      <c r="J51" s="37"/>
    </row>
    <row r="52" spans="1:10" ht="16.5" hidden="1" customHeight="1">
      <c r="A52" s="19" t="s">
        <v>13</v>
      </c>
      <c r="B52" s="41" t="s">
        <v>140</v>
      </c>
      <c r="C52" s="40" t="s">
        <v>15</v>
      </c>
      <c r="D52" s="61"/>
      <c r="E52" s="62">
        <v>6201</v>
      </c>
      <c r="F52" s="62">
        <f t="shared" si="2"/>
        <v>0</v>
      </c>
      <c r="G52" s="14"/>
      <c r="H52" s="13" t="s">
        <v>10</v>
      </c>
      <c r="I52" s="19"/>
      <c r="J52" s="37"/>
    </row>
    <row r="53" spans="1:10" ht="16.5" hidden="1" customHeight="1">
      <c r="A53" s="19" t="s">
        <v>16</v>
      </c>
      <c r="B53" s="41" t="s">
        <v>24</v>
      </c>
      <c r="C53" s="41" t="s">
        <v>27</v>
      </c>
      <c r="D53" s="67"/>
      <c r="E53" s="62">
        <v>15</v>
      </c>
      <c r="F53" s="62">
        <f t="shared" si="2"/>
        <v>0</v>
      </c>
      <c r="G53" s="14"/>
      <c r="H53" s="13" t="s">
        <v>139</v>
      </c>
      <c r="I53" s="19"/>
      <c r="J53" s="37"/>
    </row>
    <row r="54" spans="1:10" ht="16.5" hidden="1" customHeight="1">
      <c r="A54" s="19" t="s">
        <v>19</v>
      </c>
      <c r="B54" s="41" t="s">
        <v>141</v>
      </c>
      <c r="C54" s="41" t="s">
        <v>27</v>
      </c>
      <c r="D54" s="67"/>
      <c r="E54" s="62">
        <v>40</v>
      </c>
      <c r="F54" s="62">
        <f t="shared" si="2"/>
        <v>0</v>
      </c>
      <c r="G54" s="14"/>
      <c r="H54" s="13" t="s">
        <v>139</v>
      </c>
      <c r="I54" s="19"/>
      <c r="J54" s="37"/>
    </row>
    <row r="55" spans="1:10" ht="16.5" hidden="1" customHeight="1">
      <c r="A55" s="26" t="s">
        <v>21</v>
      </c>
      <c r="B55" s="27" t="s">
        <v>20</v>
      </c>
      <c r="C55" s="27"/>
      <c r="D55" s="63"/>
      <c r="E55" s="64"/>
      <c r="F55" s="64">
        <f t="shared" si="2"/>
        <v>0</v>
      </c>
      <c r="G55" s="29"/>
      <c r="H55" s="28"/>
      <c r="I55" s="19"/>
      <c r="J55" s="37"/>
    </row>
    <row r="56" spans="1:10" ht="16.5" hidden="1" customHeight="1">
      <c r="A56" s="19" t="s">
        <v>35</v>
      </c>
      <c r="B56" s="21" t="s">
        <v>142</v>
      </c>
      <c r="C56" s="21"/>
      <c r="D56" s="61"/>
      <c r="E56" s="62"/>
      <c r="F56" s="62">
        <f>SUM(F50:F55)</f>
        <v>0</v>
      </c>
      <c r="G56" s="14"/>
      <c r="H56" s="13"/>
      <c r="I56" s="19"/>
      <c r="J56" s="37"/>
    </row>
    <row r="57" spans="1:10" ht="16.5" hidden="1" customHeight="1">
      <c r="A57" s="19"/>
      <c r="B57" s="13"/>
      <c r="C57" s="13"/>
      <c r="D57" s="61"/>
      <c r="E57" s="62"/>
      <c r="F57" s="62"/>
      <c r="G57" s="14"/>
      <c r="H57" s="13"/>
      <c r="I57" s="19"/>
      <c r="J57" s="37"/>
    </row>
    <row r="58" spans="1:10" hidden="1">
      <c r="A58" s="12">
        <v>5</v>
      </c>
      <c r="B58" s="7" t="s">
        <v>143</v>
      </c>
      <c r="C58" s="7"/>
      <c r="D58" s="61"/>
      <c r="E58" s="62"/>
      <c r="F58" s="62"/>
      <c r="G58" s="14"/>
      <c r="H58" s="13"/>
      <c r="I58" s="19"/>
      <c r="J58" s="37"/>
    </row>
    <row r="59" spans="1:10" ht="16.5" hidden="1" customHeight="1">
      <c r="A59" s="39" t="s">
        <v>8</v>
      </c>
      <c r="B59" s="40" t="s">
        <v>138</v>
      </c>
      <c r="C59" s="40"/>
      <c r="D59" s="61"/>
      <c r="E59" s="62">
        <v>1000</v>
      </c>
      <c r="F59" s="62">
        <f t="shared" ref="F59:F64" si="3">0.001*D59*E59</f>
        <v>0</v>
      </c>
      <c r="G59" s="14"/>
      <c r="H59" s="13" t="s">
        <v>10</v>
      </c>
      <c r="I59" s="19"/>
      <c r="J59" s="37"/>
    </row>
    <row r="60" spans="1:10" ht="16.5" hidden="1" customHeight="1">
      <c r="A60" s="39" t="s">
        <v>11</v>
      </c>
      <c r="B60" s="23" t="s">
        <v>17</v>
      </c>
      <c r="C60" s="23" t="s">
        <v>18</v>
      </c>
      <c r="D60" s="61"/>
      <c r="E60" s="62">
        <v>5</v>
      </c>
      <c r="F60" s="62">
        <f t="shared" si="3"/>
        <v>0</v>
      </c>
      <c r="G60" s="14"/>
      <c r="H60" s="13" t="s">
        <v>139</v>
      </c>
      <c r="I60" s="19"/>
      <c r="J60" s="37"/>
    </row>
    <row r="61" spans="1:10" ht="16.5" hidden="1" customHeight="1">
      <c r="A61" s="19" t="s">
        <v>13</v>
      </c>
      <c r="B61" s="41" t="s">
        <v>140</v>
      </c>
      <c r="C61" s="40" t="s">
        <v>15</v>
      </c>
      <c r="D61" s="61"/>
      <c r="E61" s="62">
        <v>6201</v>
      </c>
      <c r="F61" s="62">
        <f t="shared" si="3"/>
        <v>0</v>
      </c>
      <c r="G61" s="14"/>
      <c r="H61" s="13" t="s">
        <v>10</v>
      </c>
      <c r="I61" s="19"/>
      <c r="J61" s="37"/>
    </row>
    <row r="62" spans="1:10" ht="16.5" hidden="1" customHeight="1">
      <c r="A62" s="19" t="s">
        <v>16</v>
      </c>
      <c r="B62" s="41" t="s">
        <v>24</v>
      </c>
      <c r="C62" s="41" t="s">
        <v>27</v>
      </c>
      <c r="D62" s="67"/>
      <c r="E62" s="62">
        <v>15</v>
      </c>
      <c r="F62" s="62">
        <f t="shared" si="3"/>
        <v>0</v>
      </c>
      <c r="G62" s="14"/>
      <c r="H62" s="13" t="s">
        <v>139</v>
      </c>
      <c r="I62" s="19"/>
      <c r="J62" s="37"/>
    </row>
    <row r="63" spans="1:10" hidden="1">
      <c r="A63" s="19" t="s">
        <v>19</v>
      </c>
      <c r="B63" s="41" t="s">
        <v>141</v>
      </c>
      <c r="C63" s="41" t="s">
        <v>27</v>
      </c>
      <c r="D63" s="67"/>
      <c r="E63" s="62">
        <v>40</v>
      </c>
      <c r="F63" s="62">
        <f t="shared" si="3"/>
        <v>0</v>
      </c>
      <c r="G63" s="14"/>
      <c r="H63" s="13" t="s">
        <v>139</v>
      </c>
      <c r="I63" s="19"/>
      <c r="J63" s="37"/>
    </row>
    <row r="64" spans="1:10" ht="16.5" hidden="1" customHeight="1">
      <c r="A64" s="26" t="s">
        <v>21</v>
      </c>
      <c r="B64" s="27" t="s">
        <v>20</v>
      </c>
      <c r="C64" s="27"/>
      <c r="D64" s="63"/>
      <c r="E64" s="64"/>
      <c r="F64" s="64">
        <f t="shared" si="3"/>
        <v>0</v>
      </c>
      <c r="G64" s="29"/>
      <c r="H64" s="28"/>
      <c r="I64" s="19"/>
      <c r="J64" s="37"/>
    </row>
    <row r="65" spans="1:10" ht="16.5" hidden="1" customHeight="1">
      <c r="A65" s="19" t="s">
        <v>35</v>
      </c>
      <c r="B65" s="21" t="s">
        <v>144</v>
      </c>
      <c r="C65" s="21"/>
      <c r="D65" s="61"/>
      <c r="E65" s="62"/>
      <c r="F65" s="62">
        <f>SUM(F59:F64)</f>
        <v>0</v>
      </c>
      <c r="G65" s="14"/>
      <c r="H65" s="13"/>
      <c r="I65" s="19"/>
      <c r="J65" s="37"/>
    </row>
    <row r="66" spans="1:10" ht="16.5" hidden="1" customHeight="1">
      <c r="A66" s="19"/>
      <c r="B66" s="13"/>
      <c r="C66" s="13"/>
      <c r="D66" s="61"/>
      <c r="E66" s="62"/>
      <c r="F66" s="62"/>
      <c r="G66" s="14"/>
      <c r="H66" s="13"/>
      <c r="I66" s="19"/>
      <c r="J66" s="37"/>
    </row>
    <row r="67" spans="1:10" ht="16.5" hidden="1" customHeight="1">
      <c r="A67" s="12">
        <v>7</v>
      </c>
      <c r="B67" s="7" t="s">
        <v>145</v>
      </c>
      <c r="C67" s="7"/>
      <c r="D67" s="61"/>
      <c r="E67" s="62"/>
      <c r="F67" s="62"/>
      <c r="G67" s="14"/>
      <c r="H67" s="13"/>
      <c r="I67" s="19"/>
      <c r="J67" s="37"/>
    </row>
    <row r="68" spans="1:10" ht="16.5" hidden="1" customHeight="1">
      <c r="A68" s="19" t="s">
        <v>8</v>
      </c>
      <c r="B68" s="41" t="s">
        <v>140</v>
      </c>
      <c r="C68" s="41" t="s">
        <v>15</v>
      </c>
      <c r="D68" s="61"/>
      <c r="E68" s="62">
        <v>6200</v>
      </c>
      <c r="F68" s="62">
        <f>0.001*D68*E68</f>
        <v>0</v>
      </c>
      <c r="G68" s="14"/>
      <c r="H68" s="13" t="s">
        <v>10</v>
      </c>
      <c r="I68" s="19"/>
      <c r="J68" s="37"/>
    </row>
    <row r="69" spans="1:10" ht="16.5" hidden="1" customHeight="1">
      <c r="A69" s="19" t="s">
        <v>11</v>
      </c>
      <c r="B69" s="40" t="s">
        <v>24</v>
      </c>
      <c r="C69" s="40" t="s">
        <v>27</v>
      </c>
      <c r="D69" s="67"/>
      <c r="E69" s="62">
        <v>20</v>
      </c>
      <c r="F69" s="62">
        <f>0.001*D69*E69</f>
        <v>0</v>
      </c>
      <c r="G69" s="14"/>
      <c r="H69" s="13" t="s">
        <v>146</v>
      </c>
      <c r="I69" s="19"/>
      <c r="J69" s="37"/>
    </row>
    <row r="70" spans="1:10" hidden="1">
      <c r="A70" s="19" t="s">
        <v>13</v>
      </c>
      <c r="B70" s="20" t="s">
        <v>147</v>
      </c>
      <c r="C70" s="20" t="s">
        <v>27</v>
      </c>
      <c r="D70" s="67"/>
      <c r="E70" s="62">
        <v>40</v>
      </c>
      <c r="F70" s="62">
        <f>0.001*D70*E70</f>
        <v>0</v>
      </c>
      <c r="G70" s="14"/>
      <c r="H70" s="13" t="s">
        <v>146</v>
      </c>
      <c r="I70" s="19"/>
      <c r="J70" s="37"/>
    </row>
    <row r="71" spans="1:10" ht="16.5" hidden="1" customHeight="1">
      <c r="A71" s="19" t="s">
        <v>16</v>
      </c>
      <c r="B71" s="20" t="s">
        <v>57</v>
      </c>
      <c r="C71" s="20" t="s">
        <v>27</v>
      </c>
      <c r="D71" s="61"/>
      <c r="E71" s="62">
        <v>450</v>
      </c>
      <c r="F71" s="62">
        <f>0.001*D71*E71</f>
        <v>0</v>
      </c>
      <c r="G71" s="14"/>
      <c r="H71" s="13" t="s">
        <v>10</v>
      </c>
      <c r="I71" s="19"/>
      <c r="J71" s="37"/>
    </row>
    <row r="72" spans="1:10" ht="16.5" hidden="1" customHeight="1">
      <c r="A72" s="26" t="s">
        <v>16</v>
      </c>
      <c r="B72" s="27" t="s">
        <v>20</v>
      </c>
      <c r="C72" s="27"/>
      <c r="D72" s="63"/>
      <c r="E72" s="64"/>
      <c r="F72" s="64">
        <f>0.001*D72*E72</f>
        <v>0</v>
      </c>
      <c r="G72" s="29"/>
      <c r="H72" s="28"/>
      <c r="I72" s="19"/>
      <c r="J72" s="37"/>
    </row>
    <row r="73" spans="1:10" ht="16.5" hidden="1" customHeight="1">
      <c r="A73" s="19" t="s">
        <v>19</v>
      </c>
      <c r="B73" s="39" t="s">
        <v>148</v>
      </c>
      <c r="C73" s="19"/>
      <c r="D73" s="61"/>
      <c r="E73" s="62"/>
      <c r="F73" s="62">
        <f>SUM(F68:F72)</f>
        <v>0</v>
      </c>
      <c r="G73" s="14"/>
      <c r="H73" s="13"/>
      <c r="I73" s="19"/>
      <c r="J73" s="37"/>
    </row>
    <row r="74" spans="1:10" ht="16.5" customHeight="1">
      <c r="A74" s="19"/>
      <c r="B74" s="13"/>
      <c r="C74" s="13"/>
      <c r="D74" s="61"/>
      <c r="E74" s="62"/>
      <c r="F74" s="62"/>
      <c r="G74" s="14"/>
      <c r="H74" s="13"/>
      <c r="I74" s="19"/>
      <c r="J74" s="37"/>
    </row>
    <row r="75" spans="1:10" ht="16.5" customHeight="1">
      <c r="A75" s="12">
        <v>8</v>
      </c>
      <c r="B75" s="7" t="s">
        <v>58</v>
      </c>
      <c r="C75" s="7"/>
      <c r="D75" s="61"/>
      <c r="E75" s="62"/>
      <c r="F75" s="62"/>
      <c r="G75" s="14"/>
      <c r="H75" s="13"/>
      <c r="I75" s="19"/>
      <c r="J75" s="37"/>
    </row>
    <row r="76" spans="1:10" ht="16.5" customHeight="1">
      <c r="A76" s="19" t="s">
        <v>8</v>
      </c>
      <c r="B76" s="23" t="s">
        <v>163</v>
      </c>
      <c r="C76" s="20"/>
      <c r="D76" s="61">
        <v>1</v>
      </c>
      <c r="E76" s="239">
        <v>40000</v>
      </c>
      <c r="F76" s="239">
        <f t="shared" ref="F76:F81" si="4">0.001*D76*E76</f>
        <v>40</v>
      </c>
      <c r="G76" s="240"/>
      <c r="H76" s="142" t="s">
        <v>396</v>
      </c>
      <c r="I76" s="19"/>
      <c r="J76" s="37"/>
    </row>
    <row r="77" spans="1:10" ht="16.5" customHeight="1">
      <c r="A77" s="19" t="s">
        <v>11</v>
      </c>
      <c r="B77" s="20" t="s">
        <v>59</v>
      </c>
      <c r="C77" s="20"/>
      <c r="D77" s="191">
        <v>0</v>
      </c>
      <c r="E77" s="239">
        <v>20000</v>
      </c>
      <c r="F77" s="239">
        <f t="shared" si="4"/>
        <v>0</v>
      </c>
      <c r="G77" s="240"/>
      <c r="H77" s="142" t="s">
        <v>245</v>
      </c>
      <c r="I77" s="19"/>
      <c r="J77" s="37"/>
    </row>
    <row r="78" spans="1:10" ht="16.5" customHeight="1">
      <c r="A78" s="19" t="s">
        <v>13</v>
      </c>
      <c r="B78" s="20" t="s">
        <v>60</v>
      </c>
      <c r="C78" s="20"/>
      <c r="D78" s="61">
        <v>0</v>
      </c>
      <c r="E78" s="62">
        <v>5000</v>
      </c>
      <c r="F78" s="62">
        <f t="shared" si="4"/>
        <v>0</v>
      </c>
      <c r="G78" s="14"/>
      <c r="H78" s="142" t="s">
        <v>378</v>
      </c>
      <c r="I78" s="19"/>
      <c r="J78" s="37"/>
    </row>
    <row r="79" spans="1:10" ht="16.5" customHeight="1">
      <c r="A79" s="39" t="s">
        <v>16</v>
      </c>
      <c r="B79" s="23" t="s">
        <v>61</v>
      </c>
      <c r="C79" s="23" t="s">
        <v>15</v>
      </c>
      <c r="D79" s="191">
        <v>1.5</v>
      </c>
      <c r="E79" s="239">
        <v>60000</v>
      </c>
      <c r="F79" s="239">
        <f t="shared" si="4"/>
        <v>90</v>
      </c>
      <c r="G79" s="240"/>
      <c r="H79" s="142" t="s">
        <v>400</v>
      </c>
      <c r="I79" s="19"/>
      <c r="J79" s="37"/>
    </row>
    <row r="80" spans="1:10" ht="16.5" customHeight="1">
      <c r="A80" s="39" t="s">
        <v>19</v>
      </c>
      <c r="B80" s="20" t="s">
        <v>62</v>
      </c>
      <c r="C80" s="20"/>
      <c r="D80" s="61">
        <v>1</v>
      </c>
      <c r="E80" s="62">
        <v>20000</v>
      </c>
      <c r="F80" s="62">
        <f t="shared" si="4"/>
        <v>20</v>
      </c>
      <c r="G80" s="14"/>
      <c r="H80" s="13" t="s">
        <v>10</v>
      </c>
      <c r="I80" s="19"/>
      <c r="J80" s="37"/>
    </row>
    <row r="81" spans="1:10" ht="16.5" customHeight="1">
      <c r="A81" s="42" t="s">
        <v>21</v>
      </c>
      <c r="B81" s="27" t="s">
        <v>149</v>
      </c>
      <c r="C81" s="27"/>
      <c r="D81" s="63">
        <v>1</v>
      </c>
      <c r="E81" s="64">
        <v>7500</v>
      </c>
      <c r="F81" s="64">
        <f t="shared" si="4"/>
        <v>7.5</v>
      </c>
      <c r="G81" s="29"/>
      <c r="H81" s="28" t="s">
        <v>10</v>
      </c>
      <c r="I81" s="19"/>
      <c r="J81" s="37"/>
    </row>
    <row r="82" spans="1:10" ht="16.5" customHeight="1">
      <c r="A82" s="39" t="s">
        <v>35</v>
      </c>
      <c r="B82" s="39" t="s">
        <v>63</v>
      </c>
      <c r="C82" s="13"/>
      <c r="D82" s="61"/>
      <c r="E82" s="62"/>
      <c r="F82" s="62">
        <f>SUM(F76:F81)</f>
        <v>157.5</v>
      </c>
      <c r="G82" s="14"/>
      <c r="H82" s="13"/>
      <c r="I82" s="19"/>
      <c r="J82" s="37"/>
    </row>
    <row r="83" spans="1:10" ht="16.5" customHeight="1">
      <c r="A83" s="19"/>
      <c r="B83" s="13"/>
      <c r="C83" s="13"/>
      <c r="D83" s="61"/>
      <c r="E83" s="62"/>
      <c r="F83" s="62"/>
      <c r="G83" s="14"/>
      <c r="H83" s="13"/>
      <c r="I83" s="19"/>
      <c r="J83" s="37"/>
    </row>
    <row r="84" spans="1:10" ht="16.5" customHeight="1">
      <c r="A84" s="12">
        <v>9</v>
      </c>
      <c r="B84" s="7" t="s">
        <v>247</v>
      </c>
      <c r="C84" s="7"/>
      <c r="D84" s="61"/>
      <c r="E84" s="62"/>
      <c r="F84" s="62"/>
      <c r="G84" s="14"/>
      <c r="H84" s="13"/>
      <c r="I84" s="19"/>
      <c r="J84" s="37"/>
    </row>
    <row r="85" spans="1:10" ht="16.5" customHeight="1">
      <c r="A85" s="19" t="s">
        <v>8</v>
      </c>
      <c r="B85" s="172" t="s">
        <v>248</v>
      </c>
      <c r="C85" s="41" t="s">
        <v>64</v>
      </c>
      <c r="D85" s="191">
        <v>3</v>
      </c>
      <c r="E85" s="239">
        <v>50000</v>
      </c>
      <c r="F85" s="239">
        <f t="shared" ref="F85:F90" si="5">0.001*D85*E85</f>
        <v>150</v>
      </c>
      <c r="G85" s="240"/>
      <c r="H85" s="142" t="s">
        <v>10</v>
      </c>
      <c r="I85" s="19"/>
      <c r="J85" s="37"/>
    </row>
    <row r="86" spans="1:10" ht="16.5" customHeight="1">
      <c r="A86" s="19" t="s">
        <v>11</v>
      </c>
      <c r="B86" s="41" t="s">
        <v>65</v>
      </c>
      <c r="C86" s="41" t="s">
        <v>64</v>
      </c>
      <c r="D86" s="191">
        <v>2.5</v>
      </c>
      <c r="E86" s="239">
        <v>75000</v>
      </c>
      <c r="F86" s="239">
        <f t="shared" si="5"/>
        <v>187.5</v>
      </c>
      <c r="G86" s="240"/>
      <c r="H86" s="142" t="s">
        <v>397</v>
      </c>
      <c r="I86" s="19"/>
      <c r="J86" s="37"/>
    </row>
    <row r="87" spans="1:10" ht="16.5" customHeight="1">
      <c r="A87" s="19" t="s">
        <v>13</v>
      </c>
      <c r="B87" s="172" t="s">
        <v>249</v>
      </c>
      <c r="C87" s="41"/>
      <c r="D87" s="191">
        <v>1</v>
      </c>
      <c r="E87" s="239">
        <v>50000</v>
      </c>
      <c r="F87" s="239">
        <f t="shared" si="5"/>
        <v>50</v>
      </c>
      <c r="G87" s="240"/>
      <c r="H87" s="142" t="s">
        <v>10</v>
      </c>
      <c r="I87" s="19"/>
      <c r="J87" s="37"/>
    </row>
    <row r="88" spans="1:10">
      <c r="A88" s="19" t="s">
        <v>16</v>
      </c>
      <c r="B88" s="172" t="s">
        <v>250</v>
      </c>
      <c r="C88" s="41"/>
      <c r="D88" s="191">
        <v>1</v>
      </c>
      <c r="E88" s="239">
        <v>25000</v>
      </c>
      <c r="F88" s="239">
        <f t="shared" si="5"/>
        <v>25</v>
      </c>
      <c r="G88" s="240"/>
      <c r="H88" s="142" t="s">
        <v>10</v>
      </c>
      <c r="I88" s="19"/>
      <c r="J88" s="37"/>
    </row>
    <row r="89" spans="1:10" ht="16.5" customHeight="1">
      <c r="A89" s="19" t="s">
        <v>19</v>
      </c>
      <c r="B89" s="41" t="s">
        <v>66</v>
      </c>
      <c r="C89" s="41"/>
      <c r="D89" s="191">
        <v>1</v>
      </c>
      <c r="E89" s="239">
        <v>25000</v>
      </c>
      <c r="F89" s="239">
        <f t="shared" si="5"/>
        <v>25</v>
      </c>
      <c r="G89" s="240"/>
      <c r="H89" s="142" t="s">
        <v>10</v>
      </c>
      <c r="I89" s="19"/>
      <c r="J89" s="37"/>
    </row>
    <row r="90" spans="1:10" ht="16.5" customHeight="1">
      <c r="A90" s="26" t="s">
        <v>21</v>
      </c>
      <c r="B90" s="192" t="s">
        <v>251</v>
      </c>
      <c r="C90" s="27"/>
      <c r="D90" s="184">
        <v>1</v>
      </c>
      <c r="E90" s="242">
        <v>50000</v>
      </c>
      <c r="F90" s="242">
        <f t="shared" si="5"/>
        <v>50</v>
      </c>
      <c r="G90" s="243"/>
      <c r="H90" s="238" t="s">
        <v>273</v>
      </c>
      <c r="I90" s="19"/>
      <c r="J90" s="37"/>
    </row>
    <row r="91" spans="1:10" ht="16.5" customHeight="1">
      <c r="A91" s="19" t="s">
        <v>35</v>
      </c>
      <c r="B91" s="185" t="s">
        <v>322</v>
      </c>
      <c r="C91" s="21"/>
      <c r="D91" s="61"/>
      <c r="E91" s="62"/>
      <c r="F91" s="62">
        <f>SUM(F85:F90)</f>
        <v>487.5</v>
      </c>
      <c r="G91" s="14"/>
      <c r="H91" s="13"/>
      <c r="I91" s="19"/>
      <c r="J91" s="37"/>
    </row>
    <row r="92" spans="1:10" ht="16.5" customHeight="1">
      <c r="A92" s="19"/>
      <c r="B92" s="13"/>
      <c r="C92" s="13"/>
      <c r="D92" s="61"/>
      <c r="E92" s="62"/>
      <c r="F92" s="62"/>
      <c r="G92" s="14"/>
      <c r="H92" s="13"/>
      <c r="I92" s="19"/>
      <c r="J92" s="37"/>
    </row>
    <row r="93" spans="1:10" ht="16.5" customHeight="1">
      <c r="A93" s="12">
        <v>10</v>
      </c>
      <c r="B93" s="7" t="s">
        <v>67</v>
      </c>
      <c r="C93" s="7"/>
      <c r="D93" s="61"/>
      <c r="E93" s="62"/>
      <c r="F93" s="62"/>
      <c r="G93" s="14"/>
      <c r="H93" s="13"/>
      <c r="I93" s="19"/>
      <c r="J93" s="37"/>
    </row>
    <row r="94" spans="1:10" ht="16.5" customHeight="1">
      <c r="A94" s="19" t="s">
        <v>8</v>
      </c>
      <c r="B94" s="41" t="s">
        <v>68</v>
      </c>
      <c r="C94" s="41"/>
      <c r="D94" s="69">
        <v>1</v>
      </c>
      <c r="E94" s="66">
        <v>5000</v>
      </c>
      <c r="F94" s="62">
        <f>0.001*D94*E94</f>
        <v>5</v>
      </c>
      <c r="G94" s="14"/>
      <c r="H94" s="13" t="s">
        <v>10</v>
      </c>
      <c r="I94" s="19"/>
      <c r="J94" s="37"/>
    </row>
    <row r="95" spans="1:10">
      <c r="A95" s="19" t="s">
        <v>11</v>
      </c>
      <c r="B95" s="41" t="s">
        <v>69</v>
      </c>
      <c r="C95" s="41"/>
      <c r="D95" s="246">
        <v>1</v>
      </c>
      <c r="E95" s="247">
        <v>20000</v>
      </c>
      <c r="F95" s="239">
        <f>0.001*D95*E95</f>
        <v>20</v>
      </c>
      <c r="G95" s="240"/>
      <c r="H95" s="176" t="s">
        <v>290</v>
      </c>
      <c r="I95" s="19"/>
      <c r="J95" s="37"/>
    </row>
    <row r="96" spans="1:10" ht="16.5" customHeight="1">
      <c r="A96" s="19" t="s">
        <v>13</v>
      </c>
      <c r="B96" s="41" t="s">
        <v>70</v>
      </c>
      <c r="C96" s="41"/>
      <c r="D96" s="69">
        <v>1</v>
      </c>
      <c r="E96" s="66">
        <v>5000</v>
      </c>
      <c r="F96" s="62">
        <f>0.001*D96*E96</f>
        <v>5</v>
      </c>
      <c r="G96" s="14"/>
      <c r="H96" s="13" t="s">
        <v>10</v>
      </c>
      <c r="I96" s="19"/>
      <c r="J96" s="37"/>
    </row>
    <row r="97" spans="1:10" ht="15.75" customHeight="1">
      <c r="A97" s="19" t="s">
        <v>16</v>
      </c>
      <c r="B97" s="41" t="s">
        <v>71</v>
      </c>
      <c r="C97" s="41"/>
      <c r="D97" s="69">
        <v>1</v>
      </c>
      <c r="E97" s="66">
        <v>10000</v>
      </c>
      <c r="F97" s="62">
        <f>0.001*D97*E97</f>
        <v>10</v>
      </c>
      <c r="G97" s="14"/>
      <c r="H97" s="13" t="s">
        <v>10</v>
      </c>
      <c r="I97" s="19"/>
      <c r="J97" s="37"/>
    </row>
    <row r="98" spans="1:10" ht="16.5" customHeight="1">
      <c r="A98" s="26" t="s">
        <v>19</v>
      </c>
      <c r="B98" s="27" t="s">
        <v>20</v>
      </c>
      <c r="C98" s="27"/>
      <c r="D98" s="63"/>
      <c r="E98" s="64"/>
      <c r="F98" s="64">
        <f>0.001*D98*E98</f>
        <v>0</v>
      </c>
      <c r="G98" s="29"/>
      <c r="H98" s="28"/>
      <c r="I98" s="19"/>
      <c r="J98" s="37"/>
    </row>
    <row r="99" spans="1:10" ht="16.5" customHeight="1">
      <c r="A99" s="19" t="s">
        <v>21</v>
      </c>
      <c r="B99" s="39" t="s">
        <v>72</v>
      </c>
      <c r="C99" s="39"/>
      <c r="D99" s="61"/>
      <c r="E99" s="62"/>
      <c r="F99" s="62">
        <f>SUM(F94:F98)</f>
        <v>40</v>
      </c>
      <c r="G99" s="14"/>
      <c r="H99" s="13"/>
      <c r="I99" s="19"/>
      <c r="J99" s="37"/>
    </row>
    <row r="100" spans="1:10" ht="16.5" customHeight="1">
      <c r="A100" s="13"/>
      <c r="B100" s="13"/>
      <c r="C100" s="13"/>
      <c r="D100" s="61"/>
      <c r="E100" s="62"/>
      <c r="F100" s="62"/>
      <c r="G100" s="14"/>
      <c r="H100" s="13"/>
      <c r="I100" s="19"/>
      <c r="J100" s="37"/>
    </row>
    <row r="101" spans="1:10" ht="16.5" customHeight="1">
      <c r="A101" s="12">
        <v>11</v>
      </c>
      <c r="B101" s="7" t="s">
        <v>73</v>
      </c>
      <c r="C101" s="7"/>
      <c r="D101" s="61"/>
      <c r="E101" s="62"/>
      <c r="F101" s="62"/>
      <c r="G101" s="14"/>
      <c r="H101" s="13"/>
      <c r="I101" s="19"/>
      <c r="J101" s="37"/>
    </row>
    <row r="102" spans="1:10" ht="16.5" customHeight="1">
      <c r="A102" s="19" t="s">
        <v>8</v>
      </c>
      <c r="B102" s="20" t="s">
        <v>14</v>
      </c>
      <c r="C102" s="20" t="s">
        <v>15</v>
      </c>
      <c r="D102" s="191">
        <v>1</v>
      </c>
      <c r="E102" s="239">
        <v>6200</v>
      </c>
      <c r="F102" s="239">
        <f>0.001*D102*E102</f>
        <v>6.2</v>
      </c>
      <c r="G102" s="240"/>
      <c r="H102" s="142" t="s">
        <v>10</v>
      </c>
      <c r="I102" s="19"/>
      <c r="J102" s="37"/>
    </row>
    <row r="103" spans="1:10" ht="16.5" customHeight="1">
      <c r="A103" s="19" t="s">
        <v>11</v>
      </c>
      <c r="B103" s="20" t="s">
        <v>74</v>
      </c>
      <c r="C103" s="20"/>
      <c r="D103" s="191">
        <v>1</v>
      </c>
      <c r="E103" s="239">
        <f>'Interconnect Costs'!K6</f>
        <v>52000</v>
      </c>
      <c r="F103" s="239">
        <f>0.001*D103*E103</f>
        <v>52</v>
      </c>
      <c r="G103" s="240"/>
      <c r="H103" s="142" t="s">
        <v>274</v>
      </c>
      <c r="I103" s="19"/>
      <c r="J103" s="37"/>
    </row>
    <row r="104" spans="1:10" ht="16.5" customHeight="1">
      <c r="A104" s="19" t="s">
        <v>13</v>
      </c>
      <c r="B104" s="20" t="s">
        <v>75</v>
      </c>
      <c r="C104" s="20"/>
      <c r="D104" s="191">
        <v>1</v>
      </c>
      <c r="E104" s="239">
        <v>10000</v>
      </c>
      <c r="F104" s="239">
        <f>0.001*D104*E104</f>
        <v>10</v>
      </c>
      <c r="G104" s="240"/>
      <c r="H104" s="142" t="s">
        <v>10</v>
      </c>
      <c r="I104" s="19"/>
      <c r="J104" s="37"/>
    </row>
    <row r="105" spans="1:10" ht="32.25" customHeight="1">
      <c r="A105" s="19" t="s">
        <v>13</v>
      </c>
      <c r="B105" s="20" t="s">
        <v>76</v>
      </c>
      <c r="C105" s="20"/>
      <c r="D105" s="191">
        <v>1</v>
      </c>
      <c r="E105" s="239">
        <f>'Interconnect Costs'!K7+'Interconnect Costs'!K8+'Interconnect Costs'!K9</f>
        <v>50000</v>
      </c>
      <c r="F105" s="239">
        <f>0.001*D105*E105</f>
        <v>50</v>
      </c>
      <c r="G105" s="240"/>
      <c r="H105" s="142" t="s">
        <v>274</v>
      </c>
      <c r="I105" s="19"/>
      <c r="J105" s="37"/>
    </row>
    <row r="106" spans="1:10" ht="16.5" customHeight="1">
      <c r="A106" s="26" t="s">
        <v>16</v>
      </c>
      <c r="B106" s="192" t="s">
        <v>248</v>
      </c>
      <c r="C106" s="27"/>
      <c r="D106" s="184">
        <v>1</v>
      </c>
      <c r="E106" s="242">
        <v>20000</v>
      </c>
      <c r="F106" s="242">
        <f>0.001*D106*E106</f>
        <v>20</v>
      </c>
      <c r="G106" s="243"/>
      <c r="H106" s="238" t="s">
        <v>10</v>
      </c>
      <c r="I106" s="19"/>
      <c r="J106" s="37"/>
    </row>
    <row r="107" spans="1:10">
      <c r="A107" s="19" t="s">
        <v>21</v>
      </c>
      <c r="B107" s="19" t="s">
        <v>77</v>
      </c>
      <c r="C107" s="19"/>
      <c r="D107" s="191"/>
      <c r="E107" s="239"/>
      <c r="F107" s="239">
        <f>SUM(F102:F106)</f>
        <v>138.19999999999999</v>
      </c>
      <c r="G107" s="240"/>
      <c r="H107" s="142"/>
      <c r="I107" s="19"/>
      <c r="J107" s="37"/>
    </row>
    <row r="108" spans="1:10" ht="16.5" customHeight="1">
      <c r="A108" s="13"/>
      <c r="B108" s="13"/>
      <c r="C108" s="13"/>
      <c r="D108" s="61"/>
      <c r="E108" s="62"/>
      <c r="F108" s="62"/>
      <c r="G108" s="14"/>
      <c r="H108" s="13"/>
      <c r="I108" s="19"/>
      <c r="J108" s="37"/>
    </row>
    <row r="109" spans="1:10" ht="16.5" customHeight="1">
      <c r="A109" s="12">
        <v>12</v>
      </c>
      <c r="B109" s="7" t="s">
        <v>78</v>
      </c>
      <c r="C109" s="7"/>
      <c r="D109" s="61"/>
      <c r="E109" s="62"/>
      <c r="F109" s="62"/>
      <c r="G109" s="14"/>
      <c r="H109" s="13"/>
      <c r="I109" s="19"/>
      <c r="J109" s="37"/>
    </row>
    <row r="110" spans="1:10" ht="16.5" customHeight="1">
      <c r="A110" s="19" t="s">
        <v>8</v>
      </c>
      <c r="B110" s="20" t="s">
        <v>79</v>
      </c>
      <c r="C110" s="20"/>
      <c r="D110" s="61">
        <v>1</v>
      </c>
      <c r="E110" s="62">
        <f>F130*1000*0.08</f>
        <v>234801.81511024927</v>
      </c>
      <c r="F110" s="62">
        <f t="shared" ref="F110:F115" si="6">0.001*D110*E110</f>
        <v>234.80181511024927</v>
      </c>
      <c r="G110" s="14"/>
      <c r="H110" s="36" t="s">
        <v>164</v>
      </c>
      <c r="I110" s="19"/>
      <c r="J110" s="37"/>
    </row>
    <row r="111" spans="1:10">
      <c r="A111" s="19" t="s">
        <v>11</v>
      </c>
      <c r="B111" s="20" t="s">
        <v>80</v>
      </c>
      <c r="C111" s="20"/>
      <c r="D111" s="61">
        <v>1</v>
      </c>
      <c r="E111" s="62">
        <v>25000</v>
      </c>
      <c r="F111" s="62">
        <f t="shared" si="6"/>
        <v>25</v>
      </c>
      <c r="G111" s="14"/>
      <c r="H111" s="13" t="s">
        <v>10</v>
      </c>
      <c r="I111" s="19"/>
      <c r="J111" s="37"/>
    </row>
    <row r="112" spans="1:10" ht="16.5" customHeight="1">
      <c r="A112" s="19" t="s">
        <v>13</v>
      </c>
      <c r="B112" s="20" t="s">
        <v>81</v>
      </c>
      <c r="C112" s="20"/>
      <c r="D112" s="61">
        <v>1</v>
      </c>
      <c r="E112" s="62">
        <v>20000</v>
      </c>
      <c r="F112" s="62">
        <f t="shared" si="6"/>
        <v>20</v>
      </c>
      <c r="G112" s="14"/>
      <c r="H112" s="13" t="s">
        <v>82</v>
      </c>
      <c r="I112" s="19"/>
      <c r="J112" s="37"/>
    </row>
    <row r="113" spans="1:10" ht="16.5" customHeight="1">
      <c r="A113" s="19" t="s">
        <v>16</v>
      </c>
      <c r="B113" s="20" t="s">
        <v>83</v>
      </c>
      <c r="C113" s="20"/>
      <c r="D113" s="61">
        <v>1</v>
      </c>
      <c r="E113" s="62">
        <v>35000</v>
      </c>
      <c r="F113" s="62">
        <f t="shared" si="6"/>
        <v>35</v>
      </c>
      <c r="G113" s="14"/>
      <c r="H113" s="13" t="s">
        <v>91</v>
      </c>
      <c r="I113" s="19"/>
      <c r="J113" s="37"/>
    </row>
    <row r="114" spans="1:10">
      <c r="A114" s="19" t="s">
        <v>19</v>
      </c>
      <c r="B114" s="20" t="s">
        <v>84</v>
      </c>
      <c r="C114" s="20"/>
      <c r="D114" s="61">
        <v>1</v>
      </c>
      <c r="E114" s="62">
        <v>100000</v>
      </c>
      <c r="F114" s="62">
        <f t="shared" si="6"/>
        <v>100</v>
      </c>
      <c r="G114" s="14"/>
      <c r="H114" s="13" t="s">
        <v>10</v>
      </c>
      <c r="I114" s="19"/>
      <c r="J114" s="37"/>
    </row>
    <row r="115" spans="1:10" ht="16.5" customHeight="1">
      <c r="A115" s="26" t="s">
        <v>21</v>
      </c>
      <c r="B115" s="27" t="s">
        <v>20</v>
      </c>
      <c r="C115" s="27"/>
      <c r="D115" s="63"/>
      <c r="E115" s="64"/>
      <c r="F115" s="64">
        <f t="shared" si="6"/>
        <v>0</v>
      </c>
      <c r="G115" s="29"/>
      <c r="H115" s="28"/>
      <c r="I115" s="19"/>
      <c r="J115" s="37"/>
    </row>
    <row r="116" spans="1:10" ht="16.5" customHeight="1">
      <c r="A116" s="19" t="s">
        <v>35</v>
      </c>
      <c r="B116" s="19" t="s">
        <v>85</v>
      </c>
      <c r="C116" s="19"/>
      <c r="D116" s="61"/>
      <c r="E116" s="62"/>
      <c r="F116" s="62">
        <f>SUM(F110:F115)</f>
        <v>414.80181511024927</v>
      </c>
      <c r="G116" s="14"/>
      <c r="H116" s="13"/>
      <c r="I116" s="19"/>
      <c r="J116" s="37"/>
    </row>
    <row r="117" spans="1:10" ht="16.5" customHeight="1">
      <c r="A117" s="13"/>
      <c r="B117" s="13"/>
      <c r="C117" s="13"/>
      <c r="D117" s="61"/>
      <c r="E117" s="62"/>
      <c r="F117" s="62"/>
      <c r="G117" s="14"/>
      <c r="H117" s="13"/>
      <c r="I117" s="19"/>
      <c r="J117" s="37"/>
    </row>
    <row r="118" spans="1:10" ht="16.5" customHeight="1">
      <c r="A118" s="12"/>
      <c r="B118" s="7" t="s">
        <v>86</v>
      </c>
      <c r="C118" s="7"/>
      <c r="D118" s="61"/>
      <c r="E118" s="62"/>
      <c r="F118" s="62"/>
      <c r="G118" s="14"/>
      <c r="H118" s="13"/>
      <c r="I118" s="19"/>
      <c r="J118" s="37"/>
    </row>
    <row r="119" spans="1:10" ht="16.5" customHeight="1">
      <c r="A119" s="12">
        <f>A$2</f>
        <v>1</v>
      </c>
      <c r="B119" s="13" t="str">
        <f>B$2</f>
        <v>General</v>
      </c>
      <c r="C119" s="13"/>
      <c r="D119" s="61"/>
      <c r="E119" s="62"/>
      <c r="F119" s="62">
        <f>F$8</f>
        <v>129.80000000000001</v>
      </c>
      <c r="G119" s="14"/>
      <c r="H119" s="13"/>
      <c r="I119" s="19"/>
      <c r="J119" s="37"/>
    </row>
    <row r="120" spans="1:10" ht="16.5" customHeight="1">
      <c r="A120" s="12">
        <f>A$10</f>
        <v>2</v>
      </c>
      <c r="B120" s="13" t="str">
        <f>B$10</f>
        <v>Powerhouse/Intake</v>
      </c>
      <c r="C120" s="13"/>
      <c r="D120" s="61"/>
      <c r="E120" s="62"/>
      <c r="F120" s="62">
        <f>F$30</f>
        <v>1001.7933768781157</v>
      </c>
      <c r="G120" s="14"/>
      <c r="H120" s="13"/>
      <c r="I120" s="19"/>
      <c r="J120" s="37"/>
    </row>
    <row r="121" spans="1:10" ht="16.5" customHeight="1">
      <c r="A121" s="12">
        <f>A$32</f>
        <v>3</v>
      </c>
      <c r="B121" s="13" t="str">
        <f>B$32</f>
        <v>Equipment</v>
      </c>
      <c r="C121" s="13"/>
      <c r="D121" s="61"/>
      <c r="E121" s="62"/>
      <c r="F121" s="62">
        <f>F$39</f>
        <v>980.22931200000005</v>
      </c>
      <c r="G121" s="14"/>
      <c r="H121" s="13"/>
      <c r="I121" s="19"/>
      <c r="J121" s="37"/>
    </row>
    <row r="122" spans="1:10" ht="16.5" hidden="1" customHeight="1">
      <c r="A122" s="43">
        <f>A$41</f>
        <v>4</v>
      </c>
      <c r="B122" s="11" t="str">
        <f>B$41</f>
        <v xml:space="preserve">Spillway </v>
      </c>
      <c r="E122" s="66"/>
      <c r="F122" s="66">
        <f>F$47</f>
        <v>0</v>
      </c>
      <c r="G122" s="44"/>
      <c r="I122" s="19"/>
      <c r="J122" s="37"/>
    </row>
    <row r="123" spans="1:10" ht="16.5" hidden="1" customHeight="1">
      <c r="A123" s="43">
        <f>A$49</f>
        <v>5</v>
      </c>
      <c r="B123" s="11" t="str">
        <f>B$49</f>
        <v>East (left) Dike</v>
      </c>
      <c r="E123" s="66"/>
      <c r="F123" s="66">
        <f>F$56</f>
        <v>0</v>
      </c>
      <c r="G123" s="33"/>
      <c r="I123" s="19"/>
      <c r="J123" s="37"/>
    </row>
    <row r="124" spans="1:10" ht="16.5" hidden="1" customHeight="1">
      <c r="A124" s="43">
        <f>A$58</f>
        <v>5</v>
      </c>
      <c r="B124" s="11" t="str">
        <f>B$58</f>
        <v>West (right) Dike</v>
      </c>
      <c r="E124" s="66"/>
      <c r="F124" s="66">
        <f>F$65</f>
        <v>0</v>
      </c>
      <c r="G124" s="33"/>
      <c r="I124" s="19"/>
      <c r="J124" s="37"/>
    </row>
    <row r="125" spans="1:10" ht="16.5" hidden="1" customHeight="1">
      <c r="A125" s="43">
        <f>A$67</f>
        <v>7</v>
      </c>
      <c r="B125" s="11" t="str">
        <f>B$67</f>
        <v>Canal</v>
      </c>
      <c r="E125" s="66"/>
      <c r="F125" s="66">
        <f>F$73</f>
        <v>0</v>
      </c>
      <c r="G125" s="33"/>
      <c r="I125" s="19"/>
      <c r="J125" s="37"/>
    </row>
    <row r="126" spans="1:10" ht="16.5" customHeight="1">
      <c r="A126" s="43">
        <f>A$75</f>
        <v>8</v>
      </c>
      <c r="B126" s="11" t="str">
        <f>B$75</f>
        <v>PM&amp;E Measures</v>
      </c>
      <c r="E126" s="66"/>
      <c r="F126" s="66">
        <f>F$82</f>
        <v>157.5</v>
      </c>
      <c r="G126" s="33"/>
      <c r="I126" s="19"/>
      <c r="J126" s="37"/>
    </row>
    <row r="127" spans="1:10" ht="16.5" customHeight="1">
      <c r="A127" s="43">
        <f>A$84</f>
        <v>9</v>
      </c>
      <c r="B127" s="176" t="s">
        <v>247</v>
      </c>
      <c r="E127" s="66"/>
      <c r="F127" s="66">
        <f>F$91</f>
        <v>487.5</v>
      </c>
      <c r="G127" s="33"/>
      <c r="I127" s="19"/>
      <c r="J127" s="37"/>
    </row>
    <row r="128" spans="1:10" ht="16.5" customHeight="1">
      <c r="A128" s="43">
        <f>A$93</f>
        <v>10</v>
      </c>
      <c r="B128" s="11" t="str">
        <f>B$93</f>
        <v>Land &amp; Land Rights</v>
      </c>
      <c r="E128" s="66"/>
      <c r="F128" s="66">
        <f>F$99</f>
        <v>40</v>
      </c>
      <c r="G128" s="33"/>
      <c r="I128" s="19"/>
      <c r="J128" s="37"/>
    </row>
    <row r="129" spans="1:10" ht="16.5" customHeight="1">
      <c r="A129" s="45">
        <f>A$101</f>
        <v>11</v>
      </c>
      <c r="B129" s="46" t="str">
        <f>B$101</f>
        <v>Interconnection</v>
      </c>
      <c r="C129" s="46"/>
      <c r="D129" s="70"/>
      <c r="E129" s="71"/>
      <c r="F129" s="71">
        <f>F$107</f>
        <v>138.19999999999999</v>
      </c>
      <c r="G129" s="47"/>
      <c r="H129" s="183"/>
      <c r="I129" s="19"/>
      <c r="J129" s="37"/>
    </row>
    <row r="130" spans="1:10" ht="16.5" customHeight="1">
      <c r="A130" s="43"/>
      <c r="B130" s="48" t="s">
        <v>87</v>
      </c>
      <c r="C130" s="48"/>
      <c r="E130" s="66"/>
      <c r="F130" s="66">
        <f>SUM(F119:F129)</f>
        <v>2935.0226888781158</v>
      </c>
      <c r="G130" s="33"/>
      <c r="I130" s="19"/>
      <c r="J130" s="37"/>
    </row>
    <row r="131" spans="1:10" ht="16.5" customHeight="1">
      <c r="A131" s="43"/>
      <c r="B131" s="48"/>
      <c r="C131" s="48"/>
      <c r="E131" s="66"/>
      <c r="F131" s="66"/>
      <c r="G131" s="33"/>
      <c r="I131" s="19"/>
      <c r="J131" s="37"/>
    </row>
    <row r="132" spans="1:10" ht="16.5" customHeight="1">
      <c r="A132" s="45">
        <f>A$109</f>
        <v>12</v>
      </c>
      <c r="B132" s="46" t="str">
        <f>B$109</f>
        <v>Indirect Costs</v>
      </c>
      <c r="C132" s="46"/>
      <c r="D132" s="70"/>
      <c r="E132" s="71"/>
      <c r="F132" s="71">
        <f>F$116</f>
        <v>414.80181511024927</v>
      </c>
      <c r="G132" s="47"/>
      <c r="H132" s="46"/>
      <c r="I132" s="19"/>
      <c r="J132" s="37"/>
    </row>
    <row r="133" spans="1:10" ht="16.5" customHeight="1">
      <c r="A133" s="43"/>
      <c r="B133" s="48" t="s">
        <v>88</v>
      </c>
      <c r="C133" s="48"/>
      <c r="E133" s="66"/>
      <c r="F133" s="72">
        <f>F$130+F$132</f>
        <v>3349.824503988365</v>
      </c>
      <c r="G133" s="49"/>
      <c r="I133" s="19"/>
      <c r="J133" s="37"/>
    </row>
    <row r="134" spans="1:10" ht="16.5" customHeight="1">
      <c r="A134" s="43"/>
      <c r="B134" s="48"/>
      <c r="C134" s="48"/>
      <c r="E134" s="66"/>
      <c r="F134" s="72"/>
      <c r="G134" s="49"/>
      <c r="I134" s="19"/>
      <c r="J134" s="37"/>
    </row>
    <row r="135" spans="1:10" ht="16.5" customHeight="1">
      <c r="A135" s="45">
        <v>13</v>
      </c>
      <c r="B135" s="46" t="s">
        <v>89</v>
      </c>
      <c r="C135" s="46"/>
      <c r="D135" s="73">
        <f>F$133*1000</f>
        <v>3349824.5039883652</v>
      </c>
      <c r="E135" s="245">
        <v>0.2</v>
      </c>
      <c r="F135" s="71">
        <f>D135*E135*0.001</f>
        <v>669.96490079767307</v>
      </c>
      <c r="G135" s="47"/>
      <c r="H135" s="46"/>
      <c r="I135" s="19"/>
      <c r="J135" s="37"/>
    </row>
    <row r="136" spans="1:10" ht="16.5" customHeight="1">
      <c r="E136" s="66"/>
      <c r="F136" s="66"/>
      <c r="G136" s="33"/>
      <c r="I136" s="19"/>
      <c r="J136" s="37"/>
    </row>
    <row r="137" spans="1:10" ht="16.5" customHeight="1">
      <c r="A137" s="12"/>
      <c r="B137" s="50" t="s">
        <v>90</v>
      </c>
      <c r="C137" s="7"/>
      <c r="D137" s="61"/>
      <c r="E137" s="62"/>
      <c r="F137" s="60">
        <f>F$133+F$135</f>
        <v>4019.7894047860382</v>
      </c>
      <c r="G137" s="8"/>
      <c r="H137" s="13"/>
      <c r="I137" s="19"/>
      <c r="J137" s="37"/>
    </row>
    <row r="138" spans="1:10">
      <c r="I138" s="19"/>
      <c r="J138" s="37"/>
    </row>
    <row r="139" spans="1:10">
      <c r="I139" s="19"/>
      <c r="J139" s="37"/>
    </row>
    <row r="140" spans="1:10">
      <c r="I140" s="19"/>
      <c r="J140" s="37"/>
    </row>
    <row r="141" spans="1:10">
      <c r="I141" s="19"/>
      <c r="J141" s="37"/>
    </row>
    <row r="142" spans="1:10">
      <c r="I142" s="19"/>
      <c r="J142" s="37"/>
    </row>
    <row r="143" spans="1:10">
      <c r="I143" s="19"/>
      <c r="J143" s="37"/>
    </row>
    <row r="144" spans="1:10">
      <c r="I144" s="19"/>
      <c r="J144" s="37"/>
    </row>
    <row r="145" spans="9:10">
      <c r="I145" s="19"/>
      <c r="J145" s="37"/>
    </row>
    <row r="146" spans="9:10">
      <c r="I146" s="19"/>
      <c r="J146" s="37"/>
    </row>
    <row r="147" spans="9:10">
      <c r="I147" s="19"/>
      <c r="J147" s="37"/>
    </row>
    <row r="148" spans="9:10">
      <c r="I148" s="19"/>
      <c r="J148" s="37"/>
    </row>
    <row r="149" spans="9:10">
      <c r="I149" s="19"/>
      <c r="J149" s="37"/>
    </row>
    <row r="150" spans="9:10">
      <c r="I150" s="19"/>
      <c r="J150" s="37"/>
    </row>
    <row r="151" spans="9:10">
      <c r="I151" s="19"/>
      <c r="J151" s="37"/>
    </row>
    <row r="152" spans="9:10">
      <c r="I152" s="19"/>
      <c r="J152" s="37"/>
    </row>
    <row r="153" spans="9:10">
      <c r="I153" s="19"/>
      <c r="J153" s="37"/>
    </row>
    <row r="154" spans="9:10">
      <c r="I154" s="19"/>
      <c r="J154" s="37"/>
    </row>
    <row r="155" spans="9:10">
      <c r="I155" s="19"/>
      <c r="J155" s="37"/>
    </row>
    <row r="156" spans="9:10">
      <c r="I156" s="19"/>
      <c r="J156" s="37"/>
    </row>
    <row r="157" spans="9:10">
      <c r="I157" s="19"/>
      <c r="J157" s="37"/>
    </row>
    <row r="158" spans="9:10">
      <c r="I158" s="19"/>
      <c r="J158" s="37"/>
    </row>
    <row r="159" spans="9:10">
      <c r="I159" s="19"/>
      <c r="J159" s="37"/>
    </row>
    <row r="160" spans="9:10">
      <c r="I160" s="19"/>
      <c r="J160" s="37"/>
    </row>
    <row r="161" spans="9:10">
      <c r="I161" s="19"/>
      <c r="J161" s="37"/>
    </row>
    <row r="162" spans="9:10">
      <c r="I162" s="19"/>
      <c r="J162" s="37"/>
    </row>
    <row r="163" spans="9:10">
      <c r="I163" s="19"/>
      <c r="J163" s="37"/>
    </row>
    <row r="164" spans="9:10">
      <c r="I164" s="19"/>
      <c r="J164" s="37"/>
    </row>
    <row r="165" spans="9:10">
      <c r="I165" s="19"/>
      <c r="J165" s="37"/>
    </row>
    <row r="166" spans="9:10">
      <c r="I166" s="19"/>
      <c r="J166" s="37"/>
    </row>
    <row r="167" spans="9:10">
      <c r="I167" s="19"/>
      <c r="J167" s="37"/>
    </row>
    <row r="168" spans="9:10">
      <c r="I168" s="19"/>
      <c r="J168" s="37"/>
    </row>
    <row r="169" spans="9:10">
      <c r="I169" s="19"/>
      <c r="J169" s="37"/>
    </row>
    <row r="170" spans="9:10">
      <c r="I170" s="19"/>
      <c r="J170" s="37"/>
    </row>
    <row r="171" spans="9:10">
      <c r="I171" s="19"/>
      <c r="J171" s="37"/>
    </row>
    <row r="172" spans="9:10">
      <c r="I172" s="19"/>
      <c r="J172" s="37"/>
    </row>
    <row r="173" spans="9:10">
      <c r="I173" s="19"/>
      <c r="J173" s="37"/>
    </row>
    <row r="174" spans="9:10">
      <c r="I174" s="19"/>
      <c r="J174" s="37"/>
    </row>
  </sheetData>
  <mergeCells count="1">
    <mergeCell ref="L3:S11"/>
  </mergeCells>
  <conditionalFormatting sqref="I24:N65536 I3:I5 I17:I22 N12:N22 L3 I7:I15 K18:L22 M20:M22 K5 K8:K15 L12:M15">
    <cfRule type="cellIs" dxfId="12" priority="1" stopIfTrue="1" operator="equal">
      <formula>0</formula>
    </cfRule>
  </conditionalFormatting>
  <printOptions horizontalCentered="1" gridLines="1"/>
  <pageMargins left="0.75" right="0.75" top="0.63" bottom="0.63" header="0.32" footer="0.45"/>
  <pageSetup scale="61" fitToHeight="2" orientation="portrait" r:id="rId1"/>
  <headerFooter alignWithMargins="0">
    <oddHeader>&amp;L&amp;"Arial,Bold Italic"&amp;11&amp;A&amp;C&amp;"Arial,Bold Italic"&amp;11Ten Mile River Hydro
Phase I Feasibility Study&amp;R&amp;"Arial,Bold Italic"&amp;11For Planning Purposes Only</oddHeader>
    <oddFooter>&amp;L&amp;F&amp;R&amp;G</oddFooter>
  </headerFooter>
  <rowBreaks count="1" manualBreakCount="1">
    <brk id="92" max="7" man="1"/>
  </rowBreaks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theme="5"/>
  </sheetPr>
  <dimension ref="A1:S174"/>
  <sheetViews>
    <sheetView view="pageBreakPreview" zoomScale="75" zoomScaleNormal="100" zoomScaleSheetLayoutView="75" workbookViewId="0">
      <selection activeCell="H79" sqref="H79"/>
    </sheetView>
  </sheetViews>
  <sheetFormatPr defaultRowHeight="12.75"/>
  <cols>
    <col min="1" max="1" width="4.85546875" style="11" customWidth="1"/>
    <col min="2" max="2" width="32.5703125" style="11" customWidth="1"/>
    <col min="3" max="3" width="9.140625" style="11"/>
    <col min="4" max="4" width="12.42578125" style="69" customWidth="1"/>
    <col min="5" max="5" width="9.42578125" style="69" customWidth="1"/>
    <col min="6" max="6" width="12.85546875" style="69" customWidth="1"/>
    <col min="7" max="7" width="3.140625" style="11" customWidth="1"/>
    <col min="8" max="8" width="60.7109375" style="11" customWidth="1"/>
    <col min="9" max="9" width="4.85546875" style="11" customWidth="1"/>
    <col min="10" max="10" width="12.28515625" style="51" customWidth="1"/>
    <col min="11" max="11" width="12.42578125" style="10" customWidth="1"/>
    <col min="12" max="12" width="12.5703125" style="10" customWidth="1"/>
    <col min="13" max="14" width="9.140625" style="10"/>
    <col min="15" max="16384" width="9.140625" style="11"/>
  </cols>
  <sheetData>
    <row r="1" spans="1:19" ht="25.5">
      <c r="A1" s="7" t="s">
        <v>0</v>
      </c>
      <c r="B1" s="7" t="s">
        <v>1</v>
      </c>
      <c r="C1" s="7" t="s">
        <v>2</v>
      </c>
      <c r="D1" s="12" t="s">
        <v>3</v>
      </c>
      <c r="E1" s="60" t="s">
        <v>4</v>
      </c>
      <c r="F1" s="60" t="s">
        <v>5</v>
      </c>
      <c r="G1" s="8"/>
      <c r="H1" s="7" t="s">
        <v>6</v>
      </c>
      <c r="I1" s="7"/>
      <c r="J1" s="9"/>
      <c r="L1" s="10" t="s">
        <v>270</v>
      </c>
    </row>
    <row r="2" spans="1:19" ht="16.5" customHeight="1">
      <c r="A2" s="12">
        <v>1</v>
      </c>
      <c r="B2" s="7" t="s">
        <v>7</v>
      </c>
      <c r="C2" s="7"/>
      <c r="D2" s="61"/>
      <c r="E2" s="62"/>
      <c r="F2" s="62"/>
      <c r="G2" s="14"/>
      <c r="H2" s="13"/>
      <c r="I2" s="15"/>
      <c r="J2" s="16"/>
      <c r="K2" s="170"/>
      <c r="L2" s="141" t="s">
        <v>228</v>
      </c>
      <c r="M2" s="17"/>
      <c r="N2" s="17"/>
      <c r="O2" s="18"/>
      <c r="P2" s="18"/>
    </row>
    <row r="3" spans="1:19" ht="16.5" customHeight="1">
      <c r="A3" s="19" t="s">
        <v>8</v>
      </c>
      <c r="B3" s="20" t="s">
        <v>9</v>
      </c>
      <c r="C3" s="20"/>
      <c r="D3" s="61">
        <v>1</v>
      </c>
      <c r="E3" s="62">
        <v>25000</v>
      </c>
      <c r="F3" s="62">
        <f>0.001*D3*E3</f>
        <v>25</v>
      </c>
      <c r="G3" s="14"/>
      <c r="H3" s="13" t="s">
        <v>10</v>
      </c>
      <c r="I3" s="21"/>
      <c r="J3" s="22"/>
      <c r="L3" s="374" t="s">
        <v>297</v>
      </c>
      <c r="M3" s="374"/>
      <c r="N3" s="374"/>
      <c r="O3" s="374"/>
      <c r="P3" s="374"/>
      <c r="Q3" s="374"/>
      <c r="R3" s="374"/>
      <c r="S3" s="374"/>
    </row>
    <row r="4" spans="1:19" ht="16.5" customHeight="1">
      <c r="A4" s="19" t="s">
        <v>11</v>
      </c>
      <c r="B4" s="20" t="s">
        <v>12</v>
      </c>
      <c r="C4" s="20"/>
      <c r="D4" s="61">
        <v>1</v>
      </c>
      <c r="E4" s="62">
        <v>10000</v>
      </c>
      <c r="F4" s="62">
        <f>0.001*D4*E4</f>
        <v>10</v>
      </c>
      <c r="G4" s="14"/>
      <c r="H4" s="13" t="s">
        <v>10</v>
      </c>
      <c r="I4" s="21"/>
      <c r="J4" s="22"/>
      <c r="K4" s="140"/>
      <c r="L4" s="374"/>
      <c r="M4" s="374"/>
      <c r="N4" s="374"/>
      <c r="O4" s="374"/>
      <c r="P4" s="374"/>
      <c r="Q4" s="374"/>
      <c r="R4" s="374"/>
      <c r="S4" s="374"/>
    </row>
    <row r="5" spans="1:19" ht="18.75" customHeight="1">
      <c r="A5" s="19" t="s">
        <v>13</v>
      </c>
      <c r="B5" s="23" t="s">
        <v>14</v>
      </c>
      <c r="C5" s="23" t="s">
        <v>15</v>
      </c>
      <c r="D5" s="61">
        <v>4</v>
      </c>
      <c r="E5" s="62">
        <v>6200</v>
      </c>
      <c r="F5" s="62">
        <f>0.001*D5*E5</f>
        <v>24.8</v>
      </c>
      <c r="G5" s="14"/>
      <c r="H5" s="142" t="s">
        <v>285</v>
      </c>
      <c r="I5" s="21"/>
      <c r="J5" s="22"/>
      <c r="K5" s="17"/>
      <c r="L5" s="374"/>
      <c r="M5" s="374"/>
      <c r="N5" s="374"/>
      <c r="O5" s="374"/>
      <c r="P5" s="374"/>
      <c r="Q5" s="374"/>
      <c r="R5" s="374"/>
      <c r="S5" s="374"/>
    </row>
    <row r="6" spans="1:19" ht="16.5" customHeight="1">
      <c r="A6" s="19" t="s">
        <v>16</v>
      </c>
      <c r="B6" s="23" t="s">
        <v>17</v>
      </c>
      <c r="C6" s="23" t="s">
        <v>18</v>
      </c>
      <c r="D6" s="61">
        <v>2000</v>
      </c>
      <c r="E6" s="62">
        <v>10</v>
      </c>
      <c r="F6" s="62">
        <f>0.001*D6*E6</f>
        <v>20</v>
      </c>
      <c r="G6" s="14"/>
      <c r="H6" s="142" t="s">
        <v>285</v>
      </c>
      <c r="I6" s="18"/>
      <c r="J6" s="24"/>
      <c r="K6" s="25"/>
      <c r="L6" s="374"/>
      <c r="M6" s="374"/>
      <c r="N6" s="374"/>
      <c r="O6" s="374"/>
      <c r="P6" s="374"/>
      <c r="Q6" s="374"/>
      <c r="R6" s="374"/>
      <c r="S6" s="374"/>
    </row>
    <row r="7" spans="1:19" ht="16.5" customHeight="1">
      <c r="A7" s="26" t="s">
        <v>19</v>
      </c>
      <c r="B7" s="27" t="s">
        <v>151</v>
      </c>
      <c r="C7" s="27"/>
      <c r="D7" s="184">
        <v>1</v>
      </c>
      <c r="E7" s="64">
        <f>('Phase I Dam Repairs'!D4)*1000</f>
        <v>40000</v>
      </c>
      <c r="F7" s="64">
        <f>0.001*D7*E7</f>
        <v>40</v>
      </c>
      <c r="G7" s="29"/>
      <c r="H7" s="238" t="s">
        <v>286</v>
      </c>
      <c r="I7" s="21"/>
      <c r="J7" s="22"/>
      <c r="K7" s="30"/>
      <c r="L7" s="374"/>
      <c r="M7" s="374"/>
      <c r="N7" s="374"/>
      <c r="O7" s="374"/>
      <c r="P7" s="374"/>
      <c r="Q7" s="374"/>
      <c r="R7" s="374"/>
      <c r="S7" s="374"/>
    </row>
    <row r="8" spans="1:19" ht="16.5" customHeight="1">
      <c r="A8" s="19" t="s">
        <v>21</v>
      </c>
      <c r="B8" s="19" t="s">
        <v>22</v>
      </c>
      <c r="C8" s="19"/>
      <c r="D8" s="61"/>
      <c r="E8" s="62"/>
      <c r="F8" s="62">
        <f>SUM(F2:F7)</f>
        <v>119.8</v>
      </c>
      <c r="G8" s="14"/>
      <c r="H8" s="13"/>
      <c r="I8" s="21"/>
      <c r="J8" s="22"/>
      <c r="K8" s="31"/>
      <c r="L8" s="374"/>
      <c r="M8" s="374"/>
      <c r="N8" s="374"/>
      <c r="O8" s="374"/>
      <c r="P8" s="374"/>
      <c r="Q8" s="374"/>
      <c r="R8" s="374"/>
      <c r="S8" s="374"/>
    </row>
    <row r="9" spans="1:19" ht="16.5" customHeight="1">
      <c r="A9" s="19"/>
      <c r="B9" s="13"/>
      <c r="C9" s="13"/>
      <c r="D9" s="61"/>
      <c r="E9" s="62"/>
      <c r="F9" s="62"/>
      <c r="G9" s="14"/>
      <c r="H9" s="13"/>
      <c r="I9" s="21"/>
      <c r="J9" s="22"/>
      <c r="K9" s="31"/>
      <c r="L9" s="374"/>
      <c r="M9" s="374"/>
      <c r="N9" s="374"/>
      <c r="O9" s="374"/>
      <c r="P9" s="374"/>
      <c r="Q9" s="374"/>
      <c r="R9" s="374"/>
      <c r="S9" s="374"/>
    </row>
    <row r="10" spans="1:19" ht="16.5" customHeight="1">
      <c r="A10" s="12">
        <v>2</v>
      </c>
      <c r="B10" s="7" t="s">
        <v>130</v>
      </c>
      <c r="C10" s="7"/>
      <c r="D10" s="65"/>
      <c r="E10" s="62"/>
      <c r="F10" s="62"/>
      <c r="G10" s="14"/>
      <c r="H10" s="13"/>
      <c r="I10" s="21"/>
      <c r="J10" s="22"/>
      <c r="K10" s="31"/>
      <c r="L10" s="374"/>
      <c r="M10" s="374"/>
      <c r="N10" s="374"/>
      <c r="O10" s="374"/>
      <c r="P10" s="374"/>
      <c r="Q10" s="374"/>
      <c r="R10" s="374"/>
      <c r="S10" s="374"/>
    </row>
    <row r="11" spans="1:19" ht="16.5" customHeight="1">
      <c r="A11" s="19" t="s">
        <v>8</v>
      </c>
      <c r="B11" s="20" t="s">
        <v>114</v>
      </c>
      <c r="C11" s="32"/>
      <c r="D11" s="66"/>
      <c r="E11" s="62"/>
      <c r="F11" s="62">
        <v>100</v>
      </c>
      <c r="G11" s="14"/>
      <c r="H11" s="13" t="s">
        <v>10</v>
      </c>
      <c r="I11" s="21"/>
      <c r="J11" s="22"/>
      <c r="K11" s="31"/>
      <c r="L11" s="374"/>
      <c r="M11" s="374"/>
      <c r="N11" s="374"/>
      <c r="O11" s="374"/>
      <c r="P11" s="374"/>
      <c r="Q11" s="374"/>
      <c r="R11" s="374"/>
      <c r="S11" s="374"/>
    </row>
    <row r="12" spans="1:19" ht="16.5" customHeight="1">
      <c r="A12" s="19" t="s">
        <v>11</v>
      </c>
      <c r="B12" s="194" t="s">
        <v>375</v>
      </c>
      <c r="C12" s="32"/>
      <c r="D12" s="66"/>
      <c r="E12" s="62"/>
      <c r="F12" s="62">
        <v>25</v>
      </c>
      <c r="G12" s="14"/>
      <c r="H12" s="13" t="s">
        <v>10</v>
      </c>
      <c r="I12" s="21"/>
      <c r="J12" s="22"/>
      <c r="K12" s="31"/>
      <c r="L12" s="31"/>
      <c r="M12" s="31"/>
      <c r="N12" s="17"/>
      <c r="O12" s="18"/>
      <c r="P12" s="18"/>
    </row>
    <row r="13" spans="1:19" ht="16.5" customHeight="1">
      <c r="A13" s="19" t="s">
        <v>13</v>
      </c>
      <c r="B13" s="194" t="s">
        <v>318</v>
      </c>
      <c r="C13" s="20"/>
      <c r="D13" s="66">
        <v>1</v>
      </c>
      <c r="E13" s="259">
        <v>100000</v>
      </c>
      <c r="F13" s="62">
        <f t="shared" ref="F13:F29" si="0">0.001*D13*E13</f>
        <v>100</v>
      </c>
      <c r="G13" s="14"/>
      <c r="H13" s="142" t="s">
        <v>380</v>
      </c>
      <c r="I13" s="21"/>
      <c r="J13" s="22"/>
      <c r="K13" s="31"/>
      <c r="L13" s="31"/>
      <c r="M13" s="31"/>
      <c r="N13" s="17"/>
      <c r="O13" s="18"/>
      <c r="P13" s="18"/>
    </row>
    <row r="14" spans="1:19" ht="16.5" hidden="1" customHeight="1">
      <c r="A14" s="19" t="s">
        <v>25</v>
      </c>
      <c r="B14" s="34" t="s">
        <v>26</v>
      </c>
      <c r="C14" s="23" t="s">
        <v>27</v>
      </c>
      <c r="D14" s="189">
        <v>0</v>
      </c>
      <c r="E14" s="186">
        <v>100</v>
      </c>
      <c r="F14" s="186">
        <f t="shared" si="0"/>
        <v>0</v>
      </c>
      <c r="G14" s="187"/>
      <c r="H14" s="188" t="s">
        <v>288</v>
      </c>
      <c r="I14" s="21"/>
      <c r="J14" s="22"/>
      <c r="K14" s="17"/>
      <c r="L14" s="17"/>
      <c r="M14" s="17"/>
      <c r="N14" s="17"/>
      <c r="O14" s="18"/>
      <c r="P14" s="18"/>
    </row>
    <row r="15" spans="1:19" ht="27.75" hidden="1" customHeight="1">
      <c r="A15" s="19" t="s">
        <v>28</v>
      </c>
      <c r="B15" s="35" t="s">
        <v>29</v>
      </c>
      <c r="C15" s="23" t="s">
        <v>27</v>
      </c>
      <c r="D15" s="190">
        <v>0</v>
      </c>
      <c r="E15" s="186">
        <v>100</v>
      </c>
      <c r="F15" s="186">
        <f t="shared" si="0"/>
        <v>0</v>
      </c>
      <c r="G15" s="187"/>
      <c r="H15" s="188" t="s">
        <v>288</v>
      </c>
      <c r="I15" s="21"/>
      <c r="J15" s="22"/>
      <c r="K15" s="17"/>
      <c r="L15" s="17"/>
      <c r="M15" s="17"/>
      <c r="N15" s="17"/>
      <c r="O15" s="18"/>
      <c r="P15" s="18"/>
    </row>
    <row r="16" spans="1:19" ht="16.5" hidden="1" customHeight="1">
      <c r="A16" s="19" t="s">
        <v>30</v>
      </c>
      <c r="B16" s="35" t="s">
        <v>31</v>
      </c>
      <c r="C16" s="23" t="s">
        <v>27</v>
      </c>
      <c r="D16" s="190">
        <v>0</v>
      </c>
      <c r="E16" s="186">
        <v>100</v>
      </c>
      <c r="F16" s="186">
        <f t="shared" si="0"/>
        <v>0</v>
      </c>
      <c r="G16" s="187"/>
      <c r="H16" s="188" t="s">
        <v>288</v>
      </c>
      <c r="I16" s="18"/>
      <c r="J16" s="24"/>
      <c r="K16" s="25"/>
      <c r="L16" s="25"/>
      <c r="M16" s="25"/>
      <c r="N16" s="17"/>
      <c r="O16" s="18"/>
      <c r="P16" s="18"/>
    </row>
    <row r="17" spans="1:16" ht="16.5" hidden="1" customHeight="1">
      <c r="A17" s="21" t="s">
        <v>16</v>
      </c>
      <c r="B17" s="23" t="s">
        <v>32</v>
      </c>
      <c r="C17" s="23"/>
      <c r="D17" s="190">
        <v>0</v>
      </c>
      <c r="E17" s="186">
        <v>10000</v>
      </c>
      <c r="F17" s="186">
        <f t="shared" si="0"/>
        <v>0</v>
      </c>
      <c r="G17" s="187"/>
      <c r="H17" s="188" t="s">
        <v>288</v>
      </c>
      <c r="I17" s="21"/>
      <c r="J17" s="22"/>
      <c r="K17" s="30"/>
      <c r="L17" s="30"/>
      <c r="M17" s="30"/>
      <c r="N17" s="17"/>
      <c r="O17" s="18"/>
      <c r="P17" s="18"/>
    </row>
    <row r="18" spans="1:16" ht="16.5" hidden="1" customHeight="1">
      <c r="A18" s="19" t="s">
        <v>19</v>
      </c>
      <c r="B18" s="23" t="s">
        <v>33</v>
      </c>
      <c r="C18" s="23" t="s">
        <v>34</v>
      </c>
      <c r="D18" s="190">
        <v>0</v>
      </c>
      <c r="E18" s="186">
        <v>1000</v>
      </c>
      <c r="F18" s="186">
        <f t="shared" si="0"/>
        <v>0</v>
      </c>
      <c r="G18" s="187"/>
      <c r="H18" s="188" t="s">
        <v>288</v>
      </c>
      <c r="I18" s="21"/>
      <c r="J18" s="22"/>
      <c r="K18" s="31"/>
      <c r="L18" s="31"/>
      <c r="M18" s="30"/>
      <c r="N18" s="17"/>
      <c r="O18" s="18"/>
      <c r="P18" s="18"/>
    </row>
    <row r="19" spans="1:16" ht="16.5" hidden="1" customHeight="1">
      <c r="A19" s="19" t="s">
        <v>21</v>
      </c>
      <c r="B19" s="23" t="s">
        <v>57</v>
      </c>
      <c r="C19" s="23" t="s">
        <v>27</v>
      </c>
      <c r="D19" s="190">
        <v>0</v>
      </c>
      <c r="E19" s="186">
        <v>750</v>
      </c>
      <c r="F19" s="186">
        <f t="shared" si="0"/>
        <v>0</v>
      </c>
      <c r="G19" s="187"/>
      <c r="H19" s="188" t="s">
        <v>288</v>
      </c>
      <c r="I19" s="21"/>
      <c r="J19" s="22"/>
      <c r="K19" s="31"/>
      <c r="L19" s="31"/>
      <c r="M19" s="30"/>
      <c r="N19" s="17"/>
      <c r="O19" s="18"/>
      <c r="P19" s="18"/>
    </row>
    <row r="20" spans="1:16" ht="16.5" hidden="1" customHeight="1">
      <c r="A20" s="19" t="s">
        <v>35</v>
      </c>
      <c r="B20" s="23" t="s">
        <v>124</v>
      </c>
      <c r="C20" s="23" t="s">
        <v>23</v>
      </c>
      <c r="D20" s="190">
        <v>0</v>
      </c>
      <c r="E20" s="186">
        <v>100</v>
      </c>
      <c r="F20" s="186">
        <f t="shared" si="0"/>
        <v>0</v>
      </c>
      <c r="G20" s="187"/>
      <c r="H20" s="188" t="s">
        <v>288</v>
      </c>
      <c r="I20" s="21"/>
      <c r="J20" s="22"/>
      <c r="K20" s="31"/>
      <c r="L20" s="31"/>
      <c r="M20" s="31"/>
      <c r="N20" s="17"/>
      <c r="O20" s="18"/>
      <c r="P20" s="18"/>
    </row>
    <row r="21" spans="1:16" ht="16.5" hidden="1" customHeight="1">
      <c r="A21" s="19" t="s">
        <v>36</v>
      </c>
      <c r="B21" s="20" t="s">
        <v>37</v>
      </c>
      <c r="C21" s="32" t="s">
        <v>23</v>
      </c>
      <c r="D21" s="189">
        <v>0</v>
      </c>
      <c r="E21" s="186">
        <v>400</v>
      </c>
      <c r="F21" s="186">
        <f t="shared" si="0"/>
        <v>0</v>
      </c>
      <c r="G21" s="187"/>
      <c r="H21" s="188" t="s">
        <v>158</v>
      </c>
      <c r="I21" s="21"/>
      <c r="J21" s="22"/>
      <c r="K21" s="31"/>
      <c r="L21" s="31"/>
      <c r="M21" s="31"/>
      <c r="N21" s="17"/>
      <c r="O21" s="18"/>
      <c r="P21" s="18"/>
    </row>
    <row r="22" spans="1:16" ht="16.5" hidden="1" customHeight="1">
      <c r="A22" s="19" t="s">
        <v>25</v>
      </c>
      <c r="B22" s="20" t="s">
        <v>38</v>
      </c>
      <c r="C22" s="32"/>
      <c r="D22" s="66">
        <v>0</v>
      </c>
      <c r="E22" s="62">
        <v>150000</v>
      </c>
      <c r="F22" s="62">
        <f t="shared" si="0"/>
        <v>0</v>
      </c>
      <c r="G22" s="14"/>
      <c r="H22" s="36" t="s">
        <v>159</v>
      </c>
      <c r="I22" s="21"/>
      <c r="J22" s="22"/>
      <c r="K22" s="31"/>
      <c r="L22" s="31"/>
      <c r="M22" s="31"/>
      <c r="N22" s="17"/>
      <c r="O22" s="18"/>
      <c r="P22" s="18"/>
    </row>
    <row r="23" spans="1:16" ht="16.5" hidden="1" customHeight="1">
      <c r="A23" s="19" t="s">
        <v>39</v>
      </c>
      <c r="B23" s="23" t="s">
        <v>160</v>
      </c>
      <c r="C23" s="20"/>
      <c r="D23" s="61">
        <v>0</v>
      </c>
      <c r="E23" s="62">
        <v>15000</v>
      </c>
      <c r="F23" s="62">
        <f t="shared" si="0"/>
        <v>0</v>
      </c>
      <c r="G23" s="14"/>
      <c r="H23" s="36" t="s">
        <v>10</v>
      </c>
      <c r="J23" s="11"/>
      <c r="K23" s="11"/>
      <c r="L23" s="11"/>
      <c r="M23" s="11"/>
      <c r="N23" s="11"/>
    </row>
    <row r="24" spans="1:16" ht="33" customHeight="1">
      <c r="A24" s="19" t="s">
        <v>40</v>
      </c>
      <c r="B24" s="194" t="s">
        <v>292</v>
      </c>
      <c r="C24" s="194" t="s">
        <v>18</v>
      </c>
      <c r="D24" s="61">
        <v>300</v>
      </c>
      <c r="E24" s="62">
        <f>'Penstock Costs'!G18</f>
        <v>444.61828589999988</v>
      </c>
      <c r="F24" s="62">
        <f t="shared" si="0"/>
        <v>133.38548576999995</v>
      </c>
      <c r="G24" s="14"/>
      <c r="H24" s="142" t="s">
        <v>366</v>
      </c>
      <c r="I24" s="19"/>
      <c r="J24" s="37"/>
    </row>
    <row r="25" spans="1:16" ht="16.5" customHeight="1">
      <c r="A25" s="19" t="s">
        <v>41</v>
      </c>
      <c r="B25" s="20" t="s">
        <v>42</v>
      </c>
      <c r="C25" s="20"/>
      <c r="D25" s="61">
        <v>1</v>
      </c>
      <c r="E25" s="62">
        <v>5000</v>
      </c>
      <c r="F25" s="62">
        <f t="shared" si="0"/>
        <v>5</v>
      </c>
      <c r="G25" s="14"/>
      <c r="H25" s="13" t="s">
        <v>10</v>
      </c>
      <c r="I25" s="19"/>
      <c r="J25" s="37"/>
    </row>
    <row r="26" spans="1:16" ht="16.5" customHeight="1">
      <c r="A26" s="19" t="s">
        <v>43</v>
      </c>
      <c r="B26" s="20" t="s">
        <v>44</v>
      </c>
      <c r="C26" s="20"/>
      <c r="D26" s="61">
        <v>1</v>
      </c>
      <c r="E26" s="239">
        <v>10000</v>
      </c>
      <c r="F26" s="239">
        <f t="shared" si="0"/>
        <v>10</v>
      </c>
      <c r="G26" s="240"/>
      <c r="H26" s="142" t="s">
        <v>10</v>
      </c>
      <c r="I26" s="19"/>
      <c r="J26" s="37"/>
    </row>
    <row r="27" spans="1:16" ht="25.5" customHeight="1">
      <c r="A27" s="19" t="s">
        <v>45</v>
      </c>
      <c r="B27" s="20" t="s">
        <v>46</v>
      </c>
      <c r="C27" s="20"/>
      <c r="D27" s="61">
        <v>1</v>
      </c>
      <c r="E27" s="239">
        <v>10000</v>
      </c>
      <c r="F27" s="239">
        <f t="shared" si="0"/>
        <v>10</v>
      </c>
      <c r="G27" s="240"/>
      <c r="H27" s="142" t="s">
        <v>10</v>
      </c>
      <c r="I27" s="19"/>
      <c r="J27" s="37"/>
    </row>
    <row r="28" spans="1:16">
      <c r="A28" s="19" t="s">
        <v>47</v>
      </c>
      <c r="B28" s="20" t="s">
        <v>48</v>
      </c>
      <c r="C28" s="20"/>
      <c r="D28" s="61">
        <v>1</v>
      </c>
      <c r="E28" s="62">
        <v>5000</v>
      </c>
      <c r="F28" s="62">
        <f t="shared" si="0"/>
        <v>5</v>
      </c>
      <c r="G28" s="14"/>
      <c r="H28" s="13" t="s">
        <v>10</v>
      </c>
      <c r="I28" s="19"/>
      <c r="J28" s="37"/>
    </row>
    <row r="29" spans="1:16" ht="16.5" customHeight="1">
      <c r="A29" s="26" t="s">
        <v>49</v>
      </c>
      <c r="B29" s="192" t="s">
        <v>358</v>
      </c>
      <c r="C29" s="27" t="s">
        <v>240</v>
      </c>
      <c r="D29" s="63">
        <v>1</v>
      </c>
      <c r="E29" s="64">
        <v>150000</v>
      </c>
      <c r="F29" s="64">
        <f t="shared" si="0"/>
        <v>150</v>
      </c>
      <c r="G29" s="29"/>
      <c r="H29" s="28" t="s">
        <v>10</v>
      </c>
      <c r="I29" s="19"/>
      <c r="J29" s="37"/>
    </row>
    <row r="30" spans="1:16">
      <c r="A30" s="19" t="s">
        <v>50</v>
      </c>
      <c r="B30" s="19" t="s">
        <v>51</v>
      </c>
      <c r="C30" s="19"/>
      <c r="D30" s="61"/>
      <c r="E30" s="62"/>
      <c r="F30" s="62">
        <f>SUM(F11:F29)</f>
        <v>538.38548576999995</v>
      </c>
      <c r="G30" s="14"/>
      <c r="H30" s="13"/>
      <c r="I30" s="19"/>
      <c r="J30" s="37"/>
    </row>
    <row r="31" spans="1:16" ht="16.5" customHeight="1">
      <c r="A31" s="19"/>
      <c r="B31" s="13"/>
      <c r="C31" s="13"/>
      <c r="D31" s="61"/>
      <c r="E31" s="62"/>
      <c r="F31" s="62"/>
      <c r="G31" s="14"/>
      <c r="H31" s="13"/>
      <c r="I31" s="19"/>
      <c r="J31" s="37"/>
    </row>
    <row r="32" spans="1:16" ht="16.5" customHeight="1">
      <c r="A32" s="12">
        <v>3</v>
      </c>
      <c r="B32" s="7" t="s">
        <v>52</v>
      </c>
      <c r="C32" s="7"/>
      <c r="D32" s="61"/>
      <c r="E32" s="62"/>
      <c r="F32" s="62"/>
      <c r="G32" s="14"/>
      <c r="H32" s="13"/>
      <c r="I32" s="19"/>
      <c r="J32" s="37"/>
    </row>
    <row r="33" spans="1:10" s="10" customFormat="1">
      <c r="A33" s="19" t="s">
        <v>8</v>
      </c>
      <c r="B33" s="194" t="s">
        <v>319</v>
      </c>
      <c r="C33" s="20"/>
      <c r="D33" s="61">
        <v>1</v>
      </c>
      <c r="E33" s="62">
        <v>400000</v>
      </c>
      <c r="F33" s="62">
        <f t="shared" ref="F33:F38" si="1">0.001*D33*E33</f>
        <v>400</v>
      </c>
      <c r="G33"/>
      <c r="H33" s="138" t="s">
        <v>10</v>
      </c>
      <c r="I33" s="19"/>
      <c r="J33" s="37"/>
    </row>
    <row r="34" spans="1:10" s="10" customFormat="1" ht="20.25" customHeight="1">
      <c r="A34" s="19" t="s">
        <v>11</v>
      </c>
      <c r="B34" s="23" t="s">
        <v>161</v>
      </c>
      <c r="C34" s="20"/>
      <c r="D34" s="61">
        <v>1</v>
      </c>
      <c r="E34" s="62">
        <f>SUM(F33,F35:F38)*1000*0.2</f>
        <v>103000</v>
      </c>
      <c r="F34" s="62">
        <f t="shared" si="1"/>
        <v>103</v>
      </c>
      <c r="G34" s="14"/>
      <c r="H34" s="36" t="s">
        <v>162</v>
      </c>
      <c r="I34" s="19"/>
      <c r="J34" s="37"/>
    </row>
    <row r="35" spans="1:10" s="10" customFormat="1" ht="16.5" customHeight="1">
      <c r="A35" s="19" t="s">
        <v>13</v>
      </c>
      <c r="B35" s="20" t="s">
        <v>53</v>
      </c>
      <c r="C35" s="20"/>
      <c r="D35" s="191">
        <v>1</v>
      </c>
      <c r="E35" s="239">
        <f>'Interconnect Costs'!K10</f>
        <v>20000</v>
      </c>
      <c r="F35" s="239">
        <f t="shared" si="1"/>
        <v>20</v>
      </c>
      <c r="G35" s="240"/>
      <c r="H35" s="241" t="s">
        <v>274</v>
      </c>
      <c r="I35" s="19"/>
      <c r="J35" s="37"/>
    </row>
    <row r="36" spans="1:10" s="10" customFormat="1" ht="16.5" customHeight="1">
      <c r="A36" s="19" t="s">
        <v>16</v>
      </c>
      <c r="B36" s="194" t="s">
        <v>320</v>
      </c>
      <c r="C36" s="20"/>
      <c r="D36" s="191">
        <v>1</v>
      </c>
      <c r="E36" s="239">
        <v>50000</v>
      </c>
      <c r="F36" s="239">
        <f t="shared" si="1"/>
        <v>50</v>
      </c>
      <c r="G36" s="240"/>
      <c r="H36" s="142" t="s">
        <v>10</v>
      </c>
      <c r="I36" s="19"/>
      <c r="J36" s="37"/>
    </row>
    <row r="37" spans="1:10" s="10" customFormat="1">
      <c r="A37" s="19" t="s">
        <v>19</v>
      </c>
      <c r="B37" s="20" t="s">
        <v>55</v>
      </c>
      <c r="C37" s="20"/>
      <c r="D37" s="191">
        <v>1</v>
      </c>
      <c r="E37" s="239">
        <v>20000</v>
      </c>
      <c r="F37" s="239">
        <f t="shared" si="1"/>
        <v>20</v>
      </c>
      <c r="G37" s="240"/>
      <c r="H37" s="142" t="s">
        <v>10</v>
      </c>
      <c r="I37" s="19"/>
      <c r="J37" s="37"/>
    </row>
    <row r="38" spans="1:10" s="10" customFormat="1" ht="16.5" customHeight="1">
      <c r="A38" s="26" t="s">
        <v>21</v>
      </c>
      <c r="B38" s="192" t="s">
        <v>321</v>
      </c>
      <c r="C38" s="27"/>
      <c r="D38" s="184">
        <v>1</v>
      </c>
      <c r="E38" s="64">
        <v>25000</v>
      </c>
      <c r="F38" s="64">
        <f t="shared" si="1"/>
        <v>25</v>
      </c>
      <c r="G38" s="29"/>
      <c r="H38" s="238" t="s">
        <v>10</v>
      </c>
      <c r="I38" s="19"/>
      <c r="J38" s="37"/>
    </row>
    <row r="39" spans="1:10" s="10" customFormat="1" ht="16.5" customHeight="1">
      <c r="A39" s="19" t="s">
        <v>35</v>
      </c>
      <c r="B39" s="19" t="s">
        <v>56</v>
      </c>
      <c r="C39" s="19"/>
      <c r="D39" s="61"/>
      <c r="E39" s="62"/>
      <c r="F39" s="62">
        <f>SUM(F33:F38)</f>
        <v>618</v>
      </c>
      <c r="G39" s="14"/>
      <c r="H39" s="13"/>
      <c r="I39" s="19"/>
      <c r="J39" s="37"/>
    </row>
    <row r="40" spans="1:10" s="10" customFormat="1" ht="16.5" hidden="1" customHeight="1">
      <c r="A40" s="19"/>
      <c r="B40" s="13"/>
      <c r="C40" s="13"/>
      <c r="D40" s="61"/>
      <c r="E40" s="62"/>
      <c r="F40" s="62"/>
      <c r="G40" s="14"/>
      <c r="H40" s="13"/>
      <c r="I40" s="19"/>
      <c r="J40" s="37"/>
    </row>
    <row r="41" spans="1:10" s="10" customFormat="1" ht="16.5" hidden="1" customHeight="1">
      <c r="A41" s="12">
        <v>4</v>
      </c>
      <c r="B41" s="7" t="s">
        <v>132</v>
      </c>
      <c r="C41" s="7"/>
      <c r="D41" s="61"/>
      <c r="E41" s="62"/>
      <c r="F41" s="62"/>
      <c r="G41" s="14"/>
      <c r="H41" s="13"/>
      <c r="I41" s="19"/>
      <c r="J41" s="37"/>
    </row>
    <row r="42" spans="1:10" s="10" customFormat="1" ht="16.5" hidden="1" customHeight="1">
      <c r="A42" s="19" t="s">
        <v>8</v>
      </c>
      <c r="B42" s="20" t="s">
        <v>133</v>
      </c>
      <c r="C42" s="23" t="s">
        <v>23</v>
      </c>
      <c r="D42" s="61"/>
      <c r="E42" s="62">
        <v>40</v>
      </c>
      <c r="F42" s="62">
        <f>0.001*D42*E42</f>
        <v>0</v>
      </c>
      <c r="G42" s="14"/>
      <c r="H42" s="13" t="s">
        <v>10</v>
      </c>
      <c r="I42" s="19"/>
      <c r="J42" s="37"/>
    </row>
    <row r="43" spans="1:10" s="10" customFormat="1" ht="16.5" hidden="1" customHeight="1">
      <c r="A43" s="19" t="s">
        <v>11</v>
      </c>
      <c r="B43" s="20" t="s">
        <v>24</v>
      </c>
      <c r="C43" s="23" t="s">
        <v>27</v>
      </c>
      <c r="D43" s="61"/>
      <c r="E43" s="62">
        <v>15</v>
      </c>
      <c r="F43" s="62">
        <f>0.001*D43*E43</f>
        <v>0</v>
      </c>
      <c r="G43" s="14"/>
      <c r="H43" s="13" t="s">
        <v>10</v>
      </c>
      <c r="I43" s="19"/>
      <c r="J43" s="37"/>
    </row>
    <row r="44" spans="1:10" s="10" customFormat="1" ht="16.5" hidden="1" customHeight="1">
      <c r="A44" s="19" t="s">
        <v>13</v>
      </c>
      <c r="B44" s="20" t="s">
        <v>134</v>
      </c>
      <c r="C44" s="23" t="s">
        <v>27</v>
      </c>
      <c r="D44" s="61"/>
      <c r="E44" s="62">
        <v>450</v>
      </c>
      <c r="F44" s="62">
        <f>0.001*D44*E44</f>
        <v>0</v>
      </c>
      <c r="G44" s="14"/>
      <c r="H44" s="13" t="s">
        <v>10</v>
      </c>
      <c r="I44" s="19"/>
      <c r="J44" s="37"/>
    </row>
    <row r="45" spans="1:10" s="10" customFormat="1" hidden="1">
      <c r="A45" s="19" t="s">
        <v>16</v>
      </c>
      <c r="B45" s="20" t="s">
        <v>135</v>
      </c>
      <c r="C45" s="20"/>
      <c r="D45" s="61"/>
      <c r="E45" s="62"/>
      <c r="F45" s="62">
        <f>0.001*D45*E45</f>
        <v>0</v>
      </c>
      <c r="G45" s="14"/>
      <c r="H45" s="36"/>
      <c r="I45" s="19"/>
      <c r="J45" s="37"/>
    </row>
    <row r="46" spans="1:10" s="10" customFormat="1" ht="16.5" hidden="1" customHeight="1">
      <c r="A46" s="26" t="s">
        <v>19</v>
      </c>
      <c r="B46" s="27" t="s">
        <v>20</v>
      </c>
      <c r="C46" s="27"/>
      <c r="D46" s="63"/>
      <c r="E46" s="64"/>
      <c r="F46" s="64">
        <f>0.001*D46*E46</f>
        <v>0</v>
      </c>
      <c r="G46" s="29"/>
      <c r="H46" s="28"/>
      <c r="I46" s="19"/>
      <c r="J46" s="37"/>
    </row>
    <row r="47" spans="1:10" s="10" customFormat="1" ht="16.5" hidden="1" customHeight="1">
      <c r="A47" s="19" t="s">
        <v>21</v>
      </c>
      <c r="B47" s="19" t="s">
        <v>136</v>
      </c>
      <c r="C47" s="19"/>
      <c r="D47" s="61"/>
      <c r="E47" s="62"/>
      <c r="F47" s="62">
        <f>SUM(F42:F46)</f>
        <v>0</v>
      </c>
      <c r="G47" s="14"/>
      <c r="H47" s="13"/>
      <c r="I47" s="19"/>
      <c r="J47" s="37"/>
    </row>
    <row r="48" spans="1:10" s="10" customFormat="1" ht="16.5" hidden="1" customHeight="1">
      <c r="A48" s="19"/>
      <c r="B48" s="13"/>
      <c r="C48" s="13"/>
      <c r="D48" s="61"/>
      <c r="E48" s="62"/>
      <c r="F48" s="62"/>
      <c r="G48" s="14"/>
      <c r="H48" s="13"/>
      <c r="I48" s="19"/>
      <c r="J48" s="37"/>
    </row>
    <row r="49" spans="1:10" s="10" customFormat="1" ht="16.5" hidden="1" customHeight="1">
      <c r="A49" s="12">
        <v>5</v>
      </c>
      <c r="B49" s="7" t="s">
        <v>137</v>
      </c>
      <c r="C49" s="7"/>
      <c r="D49" s="61"/>
      <c r="E49" s="62"/>
      <c r="F49" s="62"/>
      <c r="G49" s="14"/>
      <c r="H49" s="13"/>
      <c r="I49" s="19"/>
      <c r="J49" s="37"/>
    </row>
    <row r="50" spans="1:10" s="10" customFormat="1" ht="16.5" hidden="1" customHeight="1">
      <c r="A50" s="39" t="s">
        <v>8</v>
      </c>
      <c r="B50" s="40" t="s">
        <v>138</v>
      </c>
      <c r="C50" s="40"/>
      <c r="D50" s="61"/>
      <c r="E50" s="62">
        <v>1000</v>
      </c>
      <c r="F50" s="62">
        <f t="shared" ref="F50:F55" si="2">0.001*D50*E50</f>
        <v>0</v>
      </c>
      <c r="G50" s="14"/>
      <c r="H50" s="13" t="s">
        <v>10</v>
      </c>
      <c r="I50" s="19"/>
      <c r="J50" s="37"/>
    </row>
    <row r="51" spans="1:10" s="10" customFormat="1" ht="16.5" hidden="1" customHeight="1">
      <c r="A51" s="39" t="s">
        <v>11</v>
      </c>
      <c r="B51" s="23" t="s">
        <v>17</v>
      </c>
      <c r="C51" s="23" t="s">
        <v>18</v>
      </c>
      <c r="D51" s="61"/>
      <c r="E51" s="62">
        <v>5</v>
      </c>
      <c r="F51" s="62">
        <f t="shared" si="2"/>
        <v>0</v>
      </c>
      <c r="G51" s="14"/>
      <c r="H51" s="13" t="s">
        <v>139</v>
      </c>
      <c r="I51" s="19"/>
      <c r="J51" s="37"/>
    </row>
    <row r="52" spans="1:10" s="10" customFormat="1" ht="16.5" hidden="1" customHeight="1">
      <c r="A52" s="19" t="s">
        <v>13</v>
      </c>
      <c r="B52" s="41" t="s">
        <v>140</v>
      </c>
      <c r="C52" s="40" t="s">
        <v>15</v>
      </c>
      <c r="D52" s="61"/>
      <c r="E52" s="62">
        <v>6201</v>
      </c>
      <c r="F52" s="62">
        <f t="shared" si="2"/>
        <v>0</v>
      </c>
      <c r="G52" s="14"/>
      <c r="H52" s="13" t="s">
        <v>10</v>
      </c>
      <c r="I52" s="19"/>
      <c r="J52" s="37"/>
    </row>
    <row r="53" spans="1:10" s="10" customFormat="1" ht="16.5" hidden="1" customHeight="1">
      <c r="A53" s="19" t="s">
        <v>16</v>
      </c>
      <c r="B53" s="41" t="s">
        <v>24</v>
      </c>
      <c r="C53" s="41" t="s">
        <v>27</v>
      </c>
      <c r="D53" s="67"/>
      <c r="E53" s="62">
        <v>15</v>
      </c>
      <c r="F53" s="62">
        <f t="shared" si="2"/>
        <v>0</v>
      </c>
      <c r="G53" s="14"/>
      <c r="H53" s="13" t="s">
        <v>139</v>
      </c>
      <c r="I53" s="19"/>
      <c r="J53" s="37"/>
    </row>
    <row r="54" spans="1:10" s="10" customFormat="1" ht="16.5" hidden="1" customHeight="1">
      <c r="A54" s="19" t="s">
        <v>19</v>
      </c>
      <c r="B54" s="41" t="s">
        <v>141</v>
      </c>
      <c r="C54" s="41" t="s">
        <v>27</v>
      </c>
      <c r="D54" s="67"/>
      <c r="E54" s="62">
        <v>40</v>
      </c>
      <c r="F54" s="62">
        <f t="shared" si="2"/>
        <v>0</v>
      </c>
      <c r="G54" s="14"/>
      <c r="H54" s="13" t="s">
        <v>139</v>
      </c>
      <c r="I54" s="19"/>
      <c r="J54" s="37"/>
    </row>
    <row r="55" spans="1:10" s="10" customFormat="1" ht="16.5" hidden="1" customHeight="1">
      <c r="A55" s="26" t="s">
        <v>21</v>
      </c>
      <c r="B55" s="27" t="s">
        <v>20</v>
      </c>
      <c r="C55" s="27"/>
      <c r="D55" s="63"/>
      <c r="E55" s="64"/>
      <c r="F55" s="64">
        <f t="shared" si="2"/>
        <v>0</v>
      </c>
      <c r="G55" s="29"/>
      <c r="H55" s="28"/>
      <c r="I55" s="19"/>
      <c r="J55" s="37"/>
    </row>
    <row r="56" spans="1:10" s="10" customFormat="1" ht="16.5" hidden="1" customHeight="1">
      <c r="A56" s="19" t="s">
        <v>35</v>
      </c>
      <c r="B56" s="21" t="s">
        <v>142</v>
      </c>
      <c r="C56" s="21"/>
      <c r="D56" s="61"/>
      <c r="E56" s="62"/>
      <c r="F56" s="62">
        <f>SUM(F50:F55)</f>
        <v>0</v>
      </c>
      <c r="G56" s="14"/>
      <c r="H56" s="13"/>
      <c r="I56" s="19"/>
      <c r="J56" s="37"/>
    </row>
    <row r="57" spans="1:10" s="10" customFormat="1" ht="16.5" hidden="1" customHeight="1">
      <c r="A57" s="19"/>
      <c r="B57" s="13"/>
      <c r="C57" s="13"/>
      <c r="D57" s="61"/>
      <c r="E57" s="62"/>
      <c r="F57" s="62"/>
      <c r="G57" s="14"/>
      <c r="H57" s="13"/>
      <c r="I57" s="19"/>
      <c r="J57" s="37"/>
    </row>
    <row r="58" spans="1:10" s="10" customFormat="1" hidden="1">
      <c r="A58" s="12">
        <v>5</v>
      </c>
      <c r="B58" s="7" t="s">
        <v>143</v>
      </c>
      <c r="C58" s="7"/>
      <c r="D58" s="61"/>
      <c r="E58" s="62"/>
      <c r="F58" s="62"/>
      <c r="G58" s="14"/>
      <c r="H58" s="13"/>
      <c r="I58" s="19"/>
      <c r="J58" s="37"/>
    </row>
    <row r="59" spans="1:10" s="10" customFormat="1" ht="16.5" hidden="1" customHeight="1">
      <c r="A59" s="39" t="s">
        <v>8</v>
      </c>
      <c r="B59" s="40" t="s">
        <v>138</v>
      </c>
      <c r="C59" s="40"/>
      <c r="D59" s="61"/>
      <c r="E59" s="62">
        <v>1000</v>
      </c>
      <c r="F59" s="62">
        <f t="shared" ref="F59:F64" si="3">0.001*D59*E59</f>
        <v>0</v>
      </c>
      <c r="G59" s="14"/>
      <c r="H59" s="13" t="s">
        <v>10</v>
      </c>
      <c r="I59" s="19"/>
      <c r="J59" s="37"/>
    </row>
    <row r="60" spans="1:10" s="10" customFormat="1" ht="16.5" hidden="1" customHeight="1">
      <c r="A60" s="39" t="s">
        <v>11</v>
      </c>
      <c r="B60" s="23" t="s">
        <v>17</v>
      </c>
      <c r="C60" s="23" t="s">
        <v>18</v>
      </c>
      <c r="D60" s="61"/>
      <c r="E60" s="62">
        <v>5</v>
      </c>
      <c r="F60" s="62">
        <f t="shared" si="3"/>
        <v>0</v>
      </c>
      <c r="G60" s="14"/>
      <c r="H60" s="13" t="s">
        <v>139</v>
      </c>
      <c r="I60" s="19"/>
      <c r="J60" s="37"/>
    </row>
    <row r="61" spans="1:10" s="10" customFormat="1" ht="16.5" hidden="1" customHeight="1">
      <c r="A61" s="19" t="s">
        <v>13</v>
      </c>
      <c r="B61" s="41" t="s">
        <v>140</v>
      </c>
      <c r="C61" s="40" t="s">
        <v>15</v>
      </c>
      <c r="D61" s="61"/>
      <c r="E61" s="62">
        <v>6201</v>
      </c>
      <c r="F61" s="62">
        <f t="shared" si="3"/>
        <v>0</v>
      </c>
      <c r="G61" s="14"/>
      <c r="H61" s="13" t="s">
        <v>10</v>
      </c>
      <c r="I61" s="19"/>
      <c r="J61" s="37"/>
    </row>
    <row r="62" spans="1:10" s="10" customFormat="1" ht="16.5" hidden="1" customHeight="1">
      <c r="A62" s="19" t="s">
        <v>16</v>
      </c>
      <c r="B62" s="41" t="s">
        <v>24</v>
      </c>
      <c r="C62" s="41" t="s">
        <v>27</v>
      </c>
      <c r="D62" s="67"/>
      <c r="E62" s="62">
        <v>15</v>
      </c>
      <c r="F62" s="62">
        <f t="shared" si="3"/>
        <v>0</v>
      </c>
      <c r="G62" s="14"/>
      <c r="H62" s="13" t="s">
        <v>139</v>
      </c>
      <c r="I62" s="19"/>
      <c r="J62" s="37"/>
    </row>
    <row r="63" spans="1:10" s="10" customFormat="1" hidden="1">
      <c r="A63" s="19" t="s">
        <v>19</v>
      </c>
      <c r="B63" s="41" t="s">
        <v>141</v>
      </c>
      <c r="C63" s="41" t="s">
        <v>27</v>
      </c>
      <c r="D63" s="67"/>
      <c r="E63" s="62">
        <v>40</v>
      </c>
      <c r="F63" s="62">
        <f t="shared" si="3"/>
        <v>0</v>
      </c>
      <c r="G63" s="14"/>
      <c r="H63" s="13" t="s">
        <v>139</v>
      </c>
      <c r="I63" s="19"/>
      <c r="J63" s="37"/>
    </row>
    <row r="64" spans="1:10" s="10" customFormat="1" ht="16.5" hidden="1" customHeight="1">
      <c r="A64" s="26" t="s">
        <v>21</v>
      </c>
      <c r="B64" s="27" t="s">
        <v>20</v>
      </c>
      <c r="C64" s="27"/>
      <c r="D64" s="63"/>
      <c r="E64" s="64"/>
      <c r="F64" s="64">
        <f t="shared" si="3"/>
        <v>0</v>
      </c>
      <c r="G64" s="29"/>
      <c r="H64" s="28"/>
      <c r="I64" s="19"/>
      <c r="J64" s="37"/>
    </row>
    <row r="65" spans="1:10" s="10" customFormat="1" ht="16.5" hidden="1" customHeight="1">
      <c r="A65" s="19" t="s">
        <v>35</v>
      </c>
      <c r="B65" s="21" t="s">
        <v>144</v>
      </c>
      <c r="C65" s="21"/>
      <c r="D65" s="61"/>
      <c r="E65" s="62"/>
      <c r="F65" s="62">
        <f>SUM(F59:F64)</f>
        <v>0</v>
      </c>
      <c r="G65" s="14"/>
      <c r="H65" s="13"/>
      <c r="I65" s="19"/>
      <c r="J65" s="37"/>
    </row>
    <row r="66" spans="1:10" s="10" customFormat="1" ht="16.5" hidden="1" customHeight="1">
      <c r="A66" s="19"/>
      <c r="B66" s="13"/>
      <c r="C66" s="13"/>
      <c r="D66" s="61"/>
      <c r="E66" s="62"/>
      <c r="F66" s="62"/>
      <c r="G66" s="14"/>
      <c r="H66" s="13"/>
      <c r="I66" s="19"/>
      <c r="J66" s="37"/>
    </row>
    <row r="67" spans="1:10" s="10" customFormat="1" ht="16.5" hidden="1" customHeight="1">
      <c r="A67" s="12">
        <v>7</v>
      </c>
      <c r="B67" s="7" t="s">
        <v>145</v>
      </c>
      <c r="C67" s="7"/>
      <c r="D67" s="61"/>
      <c r="E67" s="62"/>
      <c r="F67" s="62"/>
      <c r="G67" s="14"/>
      <c r="H67" s="13"/>
      <c r="I67" s="19"/>
      <c r="J67" s="37"/>
    </row>
    <row r="68" spans="1:10" s="10" customFormat="1" ht="16.5" hidden="1" customHeight="1">
      <c r="A68" s="19" t="s">
        <v>8</v>
      </c>
      <c r="B68" s="41" t="s">
        <v>140</v>
      </c>
      <c r="C68" s="41" t="s">
        <v>15</v>
      </c>
      <c r="D68" s="61"/>
      <c r="E68" s="62">
        <v>6200</v>
      </c>
      <c r="F68" s="62">
        <f>0.001*D68*E68</f>
        <v>0</v>
      </c>
      <c r="G68" s="14"/>
      <c r="H68" s="13" t="s">
        <v>10</v>
      </c>
      <c r="I68" s="19"/>
      <c r="J68" s="37"/>
    </row>
    <row r="69" spans="1:10" s="10" customFormat="1" ht="16.5" hidden="1" customHeight="1">
      <c r="A69" s="19" t="s">
        <v>11</v>
      </c>
      <c r="B69" s="40" t="s">
        <v>24</v>
      </c>
      <c r="C69" s="40" t="s">
        <v>27</v>
      </c>
      <c r="D69" s="67"/>
      <c r="E69" s="62">
        <v>20</v>
      </c>
      <c r="F69" s="62">
        <f>0.001*D69*E69</f>
        <v>0</v>
      </c>
      <c r="G69" s="14"/>
      <c r="H69" s="13" t="s">
        <v>146</v>
      </c>
      <c r="I69" s="19"/>
      <c r="J69" s="37"/>
    </row>
    <row r="70" spans="1:10" s="10" customFormat="1" hidden="1">
      <c r="A70" s="19" t="s">
        <v>13</v>
      </c>
      <c r="B70" s="20" t="s">
        <v>147</v>
      </c>
      <c r="C70" s="20" t="s">
        <v>27</v>
      </c>
      <c r="D70" s="67"/>
      <c r="E70" s="62">
        <v>40</v>
      </c>
      <c r="F70" s="62">
        <f>0.001*D70*E70</f>
        <v>0</v>
      </c>
      <c r="G70" s="14"/>
      <c r="H70" s="13" t="s">
        <v>146</v>
      </c>
      <c r="I70" s="19"/>
      <c r="J70" s="37"/>
    </row>
    <row r="71" spans="1:10" s="10" customFormat="1" ht="16.5" hidden="1" customHeight="1">
      <c r="A71" s="19" t="s">
        <v>16</v>
      </c>
      <c r="B71" s="20" t="s">
        <v>57</v>
      </c>
      <c r="C71" s="20" t="s">
        <v>27</v>
      </c>
      <c r="D71" s="61"/>
      <c r="E71" s="62">
        <v>450</v>
      </c>
      <c r="F71" s="62">
        <f>0.001*D71*E71</f>
        <v>0</v>
      </c>
      <c r="G71" s="14"/>
      <c r="H71" s="13" t="s">
        <v>10</v>
      </c>
      <c r="I71" s="19"/>
      <c r="J71" s="37"/>
    </row>
    <row r="72" spans="1:10" s="10" customFormat="1" ht="16.5" hidden="1" customHeight="1">
      <c r="A72" s="26" t="s">
        <v>16</v>
      </c>
      <c r="B72" s="27" t="s">
        <v>20</v>
      </c>
      <c r="C72" s="27"/>
      <c r="D72" s="63"/>
      <c r="E72" s="64"/>
      <c r="F72" s="64">
        <f>0.001*D72*E72</f>
        <v>0</v>
      </c>
      <c r="G72" s="29"/>
      <c r="H72" s="28"/>
      <c r="I72" s="19"/>
      <c r="J72" s="37"/>
    </row>
    <row r="73" spans="1:10" s="10" customFormat="1" ht="16.5" hidden="1" customHeight="1">
      <c r="A73" s="19" t="s">
        <v>19</v>
      </c>
      <c r="B73" s="39" t="s">
        <v>148</v>
      </c>
      <c r="C73" s="19"/>
      <c r="D73" s="61"/>
      <c r="E73" s="62"/>
      <c r="F73" s="62">
        <f>SUM(F68:F72)</f>
        <v>0</v>
      </c>
      <c r="G73" s="14"/>
      <c r="H73" s="13"/>
      <c r="I73" s="19"/>
      <c r="J73" s="37"/>
    </row>
    <row r="74" spans="1:10" s="10" customFormat="1" ht="16.5" customHeight="1">
      <c r="A74" s="19"/>
      <c r="B74" s="13"/>
      <c r="C74" s="13"/>
      <c r="D74" s="61"/>
      <c r="E74" s="62"/>
      <c r="F74" s="62"/>
      <c r="G74" s="14"/>
      <c r="H74" s="13"/>
      <c r="I74" s="19"/>
      <c r="J74" s="37"/>
    </row>
    <row r="75" spans="1:10" s="10" customFormat="1" ht="16.5" customHeight="1">
      <c r="A75" s="12">
        <v>8</v>
      </c>
      <c r="B75" s="7" t="s">
        <v>58</v>
      </c>
      <c r="C75" s="7"/>
      <c r="D75" s="61"/>
      <c r="E75" s="62"/>
      <c r="F75" s="62"/>
      <c r="G75" s="14"/>
      <c r="H75" s="13"/>
      <c r="I75" s="19"/>
      <c r="J75" s="37"/>
    </row>
    <row r="76" spans="1:10" s="10" customFormat="1" ht="16.5" customHeight="1">
      <c r="A76" s="19" t="s">
        <v>8</v>
      </c>
      <c r="B76" s="23" t="s">
        <v>163</v>
      </c>
      <c r="C76" s="20"/>
      <c r="D76" s="61">
        <v>1</v>
      </c>
      <c r="E76" s="239">
        <v>40000</v>
      </c>
      <c r="F76" s="239">
        <f t="shared" ref="F76:F81" si="4">0.001*D76*E76</f>
        <v>40</v>
      </c>
      <c r="G76" s="240"/>
      <c r="H76" s="142" t="s">
        <v>396</v>
      </c>
      <c r="I76" s="19"/>
      <c r="J76" s="37"/>
    </row>
    <row r="77" spans="1:10" s="10" customFormat="1" ht="16.5" customHeight="1">
      <c r="A77" s="19" t="s">
        <v>11</v>
      </c>
      <c r="B77" s="20" t="s">
        <v>59</v>
      </c>
      <c r="C77" s="20"/>
      <c r="D77" s="191">
        <v>0</v>
      </c>
      <c r="E77" s="239">
        <v>20000</v>
      </c>
      <c r="F77" s="239">
        <f t="shared" si="4"/>
        <v>0</v>
      </c>
      <c r="G77" s="240"/>
      <c r="H77" s="142" t="s">
        <v>245</v>
      </c>
      <c r="I77" s="19"/>
      <c r="J77" s="37"/>
    </row>
    <row r="78" spans="1:10" s="10" customFormat="1" ht="16.5" customHeight="1">
      <c r="A78" s="19" t="s">
        <v>13</v>
      </c>
      <c r="B78" s="20" t="s">
        <v>60</v>
      </c>
      <c r="C78" s="20"/>
      <c r="D78" s="61">
        <v>1</v>
      </c>
      <c r="E78" s="62">
        <v>5000</v>
      </c>
      <c r="F78" s="62">
        <f t="shared" si="4"/>
        <v>5</v>
      </c>
      <c r="G78" s="14"/>
      <c r="H78" s="13" t="s">
        <v>10</v>
      </c>
      <c r="I78" s="19"/>
      <c r="J78" s="37"/>
    </row>
    <row r="79" spans="1:10" s="10" customFormat="1" ht="16.5" customHeight="1">
      <c r="A79" s="39" t="s">
        <v>16</v>
      </c>
      <c r="B79" s="23" t="s">
        <v>61</v>
      </c>
      <c r="C79" s="23" t="s">
        <v>15</v>
      </c>
      <c r="D79" s="191">
        <v>1.5</v>
      </c>
      <c r="E79" s="239">
        <v>60000</v>
      </c>
      <c r="F79" s="239">
        <f t="shared" si="4"/>
        <v>90</v>
      </c>
      <c r="G79" s="240"/>
      <c r="H79" s="142" t="s">
        <v>400</v>
      </c>
      <c r="I79" s="19"/>
      <c r="J79" s="37"/>
    </row>
    <row r="80" spans="1:10" s="10" customFormat="1" ht="16.5" customHeight="1">
      <c r="A80" s="39" t="s">
        <v>19</v>
      </c>
      <c r="B80" s="20" t="s">
        <v>62</v>
      </c>
      <c r="C80" s="20"/>
      <c r="D80" s="61">
        <v>1</v>
      </c>
      <c r="E80" s="62">
        <v>25000</v>
      </c>
      <c r="F80" s="62">
        <f t="shared" si="4"/>
        <v>25</v>
      </c>
      <c r="G80" s="14"/>
      <c r="H80" s="13" t="s">
        <v>10</v>
      </c>
      <c r="I80" s="19"/>
      <c r="J80" s="37"/>
    </row>
    <row r="81" spans="1:10" s="10" customFormat="1" ht="16.5" customHeight="1">
      <c r="A81" s="42" t="s">
        <v>21</v>
      </c>
      <c r="B81" s="27" t="s">
        <v>149</v>
      </c>
      <c r="C81" s="27"/>
      <c r="D81" s="63">
        <v>1</v>
      </c>
      <c r="E81" s="64">
        <v>7500</v>
      </c>
      <c r="F81" s="64">
        <f t="shared" si="4"/>
        <v>7.5</v>
      </c>
      <c r="G81" s="29"/>
      <c r="H81" s="28" t="s">
        <v>10</v>
      </c>
      <c r="I81" s="19"/>
      <c r="J81" s="37"/>
    </row>
    <row r="82" spans="1:10" s="10" customFormat="1" ht="16.5" customHeight="1">
      <c r="A82" s="39" t="s">
        <v>35</v>
      </c>
      <c r="B82" s="39" t="s">
        <v>63</v>
      </c>
      <c r="C82" s="13"/>
      <c r="D82" s="61"/>
      <c r="E82" s="62"/>
      <c r="F82" s="62">
        <f>SUM(F76:F81)</f>
        <v>167.5</v>
      </c>
      <c r="G82" s="14"/>
      <c r="H82" s="13"/>
      <c r="I82" s="19"/>
      <c r="J82" s="37"/>
    </row>
    <row r="83" spans="1:10" s="10" customFormat="1" ht="16.5" customHeight="1">
      <c r="A83" s="19"/>
      <c r="B83" s="13"/>
      <c r="C83" s="13"/>
      <c r="D83" s="61"/>
      <c r="E83" s="62"/>
      <c r="F83" s="62"/>
      <c r="G83" s="14"/>
      <c r="H83" s="13"/>
      <c r="I83" s="19"/>
      <c r="J83" s="37"/>
    </row>
    <row r="84" spans="1:10" s="10" customFormat="1" ht="16.5" customHeight="1">
      <c r="A84" s="12">
        <v>9</v>
      </c>
      <c r="B84" s="7" t="s">
        <v>247</v>
      </c>
      <c r="C84" s="7"/>
      <c r="D84" s="61"/>
      <c r="E84" s="62"/>
      <c r="F84" s="62"/>
      <c r="G84" s="14"/>
      <c r="H84" s="13"/>
      <c r="I84" s="19"/>
      <c r="J84" s="37"/>
    </row>
    <row r="85" spans="1:10" s="10" customFormat="1" ht="16.5" customHeight="1">
      <c r="A85" s="19" t="s">
        <v>8</v>
      </c>
      <c r="B85" s="172" t="s">
        <v>248</v>
      </c>
      <c r="C85" s="41" t="s">
        <v>64</v>
      </c>
      <c r="D85" s="191">
        <v>2</v>
      </c>
      <c r="E85" s="239">
        <v>50000</v>
      </c>
      <c r="F85" s="239">
        <f t="shared" ref="F85:F90" si="5">0.001*D85*E85</f>
        <v>100</v>
      </c>
      <c r="G85" s="240"/>
      <c r="H85" s="142" t="s">
        <v>10</v>
      </c>
      <c r="I85" s="19"/>
      <c r="J85" s="37"/>
    </row>
    <row r="86" spans="1:10" s="10" customFormat="1" ht="16.5" customHeight="1">
      <c r="A86" s="19" t="s">
        <v>11</v>
      </c>
      <c r="B86" s="41" t="s">
        <v>65</v>
      </c>
      <c r="C86" s="41" t="s">
        <v>64</v>
      </c>
      <c r="D86" s="191">
        <v>2</v>
      </c>
      <c r="E86" s="239">
        <v>75000</v>
      </c>
      <c r="F86" s="239">
        <f t="shared" si="5"/>
        <v>150</v>
      </c>
      <c r="G86" s="240"/>
      <c r="H86" s="142" t="s">
        <v>287</v>
      </c>
      <c r="I86" s="19"/>
      <c r="J86" s="37"/>
    </row>
    <row r="87" spans="1:10" s="10" customFormat="1" ht="16.5" customHeight="1">
      <c r="A87" s="19" t="s">
        <v>13</v>
      </c>
      <c r="B87" s="172" t="s">
        <v>249</v>
      </c>
      <c r="C87" s="41"/>
      <c r="D87" s="191">
        <v>1</v>
      </c>
      <c r="E87" s="239">
        <v>50000</v>
      </c>
      <c r="F87" s="239">
        <f t="shared" si="5"/>
        <v>50</v>
      </c>
      <c r="G87" s="240"/>
      <c r="H87" s="142" t="s">
        <v>10</v>
      </c>
      <c r="I87" s="19"/>
      <c r="J87" s="37"/>
    </row>
    <row r="88" spans="1:10" s="10" customFormat="1">
      <c r="A88" s="19" t="s">
        <v>16</v>
      </c>
      <c r="B88" s="172" t="s">
        <v>250</v>
      </c>
      <c r="C88" s="41"/>
      <c r="D88" s="191">
        <v>1</v>
      </c>
      <c r="E88" s="239">
        <v>25000</v>
      </c>
      <c r="F88" s="239">
        <f t="shared" si="5"/>
        <v>25</v>
      </c>
      <c r="G88" s="240"/>
      <c r="H88" s="142" t="s">
        <v>10</v>
      </c>
      <c r="I88" s="19"/>
      <c r="J88" s="37"/>
    </row>
    <row r="89" spans="1:10" s="10" customFormat="1" ht="16.5" customHeight="1">
      <c r="A89" s="19" t="s">
        <v>19</v>
      </c>
      <c r="B89" s="41" t="s">
        <v>66</v>
      </c>
      <c r="C89" s="41"/>
      <c r="D89" s="191">
        <v>1</v>
      </c>
      <c r="E89" s="239">
        <v>25000</v>
      </c>
      <c r="F89" s="239">
        <f t="shared" si="5"/>
        <v>25</v>
      </c>
      <c r="G89" s="240"/>
      <c r="H89" s="142" t="s">
        <v>10</v>
      </c>
      <c r="I89" s="19"/>
      <c r="J89" s="37"/>
    </row>
    <row r="90" spans="1:10" s="10" customFormat="1" ht="16.5" customHeight="1">
      <c r="A90" s="26" t="s">
        <v>21</v>
      </c>
      <c r="B90" s="192" t="s">
        <v>251</v>
      </c>
      <c r="C90" s="27"/>
      <c r="D90" s="184">
        <v>1</v>
      </c>
      <c r="E90" s="242">
        <v>50000</v>
      </c>
      <c r="F90" s="242">
        <f t="shared" si="5"/>
        <v>50</v>
      </c>
      <c r="G90" s="243"/>
      <c r="H90" s="238" t="s">
        <v>273</v>
      </c>
      <c r="I90" s="19"/>
      <c r="J90" s="37"/>
    </row>
    <row r="91" spans="1:10" s="10" customFormat="1" ht="16.5" customHeight="1">
      <c r="A91" s="19" t="s">
        <v>35</v>
      </c>
      <c r="B91" s="244" t="s">
        <v>322</v>
      </c>
      <c r="C91" s="21"/>
      <c r="D91" s="61"/>
      <c r="E91" s="62"/>
      <c r="F91" s="62">
        <f>SUM(F85:F90)</f>
        <v>400</v>
      </c>
      <c r="G91" s="14"/>
      <c r="H91" s="13"/>
      <c r="I91" s="19"/>
      <c r="J91" s="37"/>
    </row>
    <row r="92" spans="1:10" s="10" customFormat="1" ht="16.5" customHeight="1">
      <c r="A92" s="19"/>
      <c r="B92" s="13"/>
      <c r="C92" s="13"/>
      <c r="D92" s="61"/>
      <c r="E92" s="62"/>
      <c r="F92" s="62"/>
      <c r="G92" s="14"/>
      <c r="H92" s="13"/>
      <c r="I92" s="19"/>
      <c r="J92" s="37"/>
    </row>
    <row r="93" spans="1:10" s="10" customFormat="1" ht="16.5" customHeight="1">
      <c r="A93" s="12">
        <v>10</v>
      </c>
      <c r="B93" s="7" t="s">
        <v>67</v>
      </c>
      <c r="C93" s="7"/>
      <c r="D93" s="61"/>
      <c r="E93" s="62"/>
      <c r="F93" s="62"/>
      <c r="G93" s="14"/>
      <c r="H93" s="13"/>
      <c r="I93" s="19"/>
      <c r="J93" s="37"/>
    </row>
    <row r="94" spans="1:10" s="10" customFormat="1" ht="16.5" customHeight="1">
      <c r="A94" s="19" t="s">
        <v>8</v>
      </c>
      <c r="B94" s="41" t="s">
        <v>68</v>
      </c>
      <c r="C94" s="41"/>
      <c r="D94" s="69">
        <v>1</v>
      </c>
      <c r="E94" s="66">
        <v>5000</v>
      </c>
      <c r="F94" s="62">
        <f>0.001*D94*E94</f>
        <v>5</v>
      </c>
      <c r="G94" s="14"/>
      <c r="H94" s="13" t="s">
        <v>10</v>
      </c>
      <c r="I94" s="19"/>
      <c r="J94" s="37"/>
    </row>
    <row r="95" spans="1:10" s="10" customFormat="1">
      <c r="A95" s="19" t="s">
        <v>11</v>
      </c>
      <c r="B95" s="41" t="s">
        <v>69</v>
      </c>
      <c r="C95" s="41"/>
      <c r="D95" s="246">
        <v>1</v>
      </c>
      <c r="E95" s="247">
        <v>20000</v>
      </c>
      <c r="F95" s="239">
        <f>0.001*D95*E95</f>
        <v>20</v>
      </c>
      <c r="G95" s="240"/>
      <c r="H95" s="176" t="s">
        <v>290</v>
      </c>
      <c r="I95" s="19"/>
      <c r="J95" s="37"/>
    </row>
    <row r="96" spans="1:10" s="10" customFormat="1" ht="16.5" customHeight="1">
      <c r="A96" s="19" t="s">
        <v>13</v>
      </c>
      <c r="B96" s="41" t="s">
        <v>70</v>
      </c>
      <c r="C96" s="41"/>
      <c r="D96" s="69">
        <v>1</v>
      </c>
      <c r="E96" s="66">
        <v>5000</v>
      </c>
      <c r="F96" s="62">
        <f>0.001*D96*E96</f>
        <v>5</v>
      </c>
      <c r="G96" s="14"/>
      <c r="H96" s="13" t="s">
        <v>10</v>
      </c>
      <c r="I96" s="19"/>
      <c r="J96" s="37"/>
    </row>
    <row r="97" spans="1:10" s="10" customFormat="1" ht="15.75" customHeight="1">
      <c r="A97" s="19" t="s">
        <v>16</v>
      </c>
      <c r="B97" s="41" t="s">
        <v>71</v>
      </c>
      <c r="C97" s="41"/>
      <c r="D97" s="69">
        <v>1</v>
      </c>
      <c r="E97" s="66">
        <v>10000</v>
      </c>
      <c r="F97" s="62">
        <f>0.001*D97*E97</f>
        <v>10</v>
      </c>
      <c r="G97" s="14"/>
      <c r="H97" s="13" t="s">
        <v>10</v>
      </c>
      <c r="I97" s="19"/>
      <c r="J97" s="37"/>
    </row>
    <row r="98" spans="1:10" s="10" customFormat="1" ht="16.5" customHeight="1">
      <c r="A98" s="26" t="s">
        <v>19</v>
      </c>
      <c r="B98" s="27" t="s">
        <v>20</v>
      </c>
      <c r="C98" s="27"/>
      <c r="D98" s="63"/>
      <c r="E98" s="64"/>
      <c r="F98" s="64">
        <f>0.001*D98*E98</f>
        <v>0</v>
      </c>
      <c r="G98" s="29"/>
      <c r="H98" s="28"/>
      <c r="I98" s="19"/>
      <c r="J98" s="37"/>
    </row>
    <row r="99" spans="1:10" s="10" customFormat="1" ht="16.5" customHeight="1">
      <c r="A99" s="19" t="s">
        <v>21</v>
      </c>
      <c r="B99" s="39" t="s">
        <v>72</v>
      </c>
      <c r="C99" s="39"/>
      <c r="D99" s="61"/>
      <c r="E99" s="62"/>
      <c r="F99" s="62">
        <f>SUM(F94:F98)</f>
        <v>40</v>
      </c>
      <c r="G99" s="14"/>
      <c r="H99" s="13"/>
      <c r="I99" s="19"/>
      <c r="J99" s="37"/>
    </row>
    <row r="100" spans="1:10" s="10" customFormat="1" ht="16.5" customHeight="1">
      <c r="A100" s="13"/>
      <c r="B100" s="13"/>
      <c r="C100" s="13"/>
      <c r="D100" s="61"/>
      <c r="E100" s="62"/>
      <c r="F100" s="62"/>
      <c r="G100" s="14"/>
      <c r="H100" s="13"/>
      <c r="I100" s="19"/>
      <c r="J100" s="37"/>
    </row>
    <row r="101" spans="1:10" s="10" customFormat="1" ht="16.5" customHeight="1">
      <c r="A101" s="12">
        <v>11</v>
      </c>
      <c r="B101" s="7" t="s">
        <v>73</v>
      </c>
      <c r="C101" s="7"/>
      <c r="D101" s="61"/>
      <c r="E101" s="62"/>
      <c r="F101" s="62"/>
      <c r="G101" s="14"/>
      <c r="H101" s="13"/>
      <c r="I101" s="19"/>
      <c r="J101" s="37"/>
    </row>
    <row r="102" spans="1:10" s="10" customFormat="1" ht="16.5" customHeight="1">
      <c r="A102" s="19" t="s">
        <v>8</v>
      </c>
      <c r="B102" s="20" t="s">
        <v>14</v>
      </c>
      <c r="C102" s="20" t="s">
        <v>15</v>
      </c>
      <c r="D102" s="191">
        <v>1</v>
      </c>
      <c r="E102" s="239">
        <v>6200</v>
      </c>
      <c r="F102" s="239">
        <f>0.001*D102*E102</f>
        <v>6.2</v>
      </c>
      <c r="G102" s="240"/>
      <c r="H102" s="142" t="s">
        <v>10</v>
      </c>
      <c r="I102" s="19"/>
      <c r="J102" s="37"/>
    </row>
    <row r="103" spans="1:10" s="10" customFormat="1" ht="16.5" customHeight="1">
      <c r="A103" s="19" t="s">
        <v>11</v>
      </c>
      <c r="B103" s="20" t="s">
        <v>74</v>
      </c>
      <c r="C103" s="20"/>
      <c r="D103" s="191">
        <v>1</v>
      </c>
      <c r="E103" s="239">
        <f>'Interconnect Costs'!K6</f>
        <v>52000</v>
      </c>
      <c r="F103" s="239">
        <f>0.001*D103*E103</f>
        <v>52</v>
      </c>
      <c r="G103" s="240"/>
      <c r="H103" s="142" t="s">
        <v>274</v>
      </c>
      <c r="I103" s="19"/>
      <c r="J103" s="37"/>
    </row>
    <row r="104" spans="1:10" s="10" customFormat="1" ht="16.5" customHeight="1">
      <c r="A104" s="19" t="s">
        <v>13</v>
      </c>
      <c r="B104" s="20" t="s">
        <v>75</v>
      </c>
      <c r="C104" s="20"/>
      <c r="D104" s="191">
        <v>1</v>
      </c>
      <c r="E104" s="239">
        <v>10000</v>
      </c>
      <c r="F104" s="239">
        <f>0.001*D104*E104</f>
        <v>10</v>
      </c>
      <c r="G104" s="240"/>
      <c r="H104" s="142" t="s">
        <v>10</v>
      </c>
      <c r="I104" s="19"/>
      <c r="J104" s="37"/>
    </row>
    <row r="105" spans="1:10" s="10" customFormat="1" ht="32.25" customHeight="1">
      <c r="A105" s="19" t="s">
        <v>13</v>
      </c>
      <c r="B105" s="20" t="s">
        <v>76</v>
      </c>
      <c r="C105" s="20"/>
      <c r="D105" s="191">
        <v>1</v>
      </c>
      <c r="E105" s="239">
        <f>'Interconnect Costs'!K7+'Interconnect Costs'!K8+'Interconnect Costs'!K9</f>
        <v>50000</v>
      </c>
      <c r="F105" s="239">
        <f>0.001*D105*E105</f>
        <v>50</v>
      </c>
      <c r="G105" s="240"/>
      <c r="H105" s="142" t="s">
        <v>267</v>
      </c>
      <c r="I105" s="19"/>
      <c r="J105" s="37"/>
    </row>
    <row r="106" spans="1:10" s="10" customFormat="1" ht="16.5" customHeight="1">
      <c r="A106" s="26" t="s">
        <v>16</v>
      </c>
      <c r="B106" s="192" t="s">
        <v>248</v>
      </c>
      <c r="C106" s="27"/>
      <c r="D106" s="184">
        <v>1</v>
      </c>
      <c r="E106" s="242">
        <v>20000</v>
      </c>
      <c r="F106" s="242">
        <f>0.001*D106*E106</f>
        <v>20</v>
      </c>
      <c r="G106" s="243"/>
      <c r="H106" s="238" t="s">
        <v>10</v>
      </c>
      <c r="I106" s="19"/>
      <c r="J106" s="37"/>
    </row>
    <row r="107" spans="1:10" s="10" customFormat="1">
      <c r="A107" s="19" t="s">
        <v>21</v>
      </c>
      <c r="B107" s="19" t="s">
        <v>77</v>
      </c>
      <c r="C107" s="19"/>
      <c r="D107" s="191"/>
      <c r="E107" s="239"/>
      <c r="F107" s="239">
        <f>SUM(F102:F106)</f>
        <v>138.19999999999999</v>
      </c>
      <c r="G107" s="240"/>
      <c r="H107" s="142"/>
      <c r="I107" s="19"/>
      <c r="J107" s="37"/>
    </row>
    <row r="108" spans="1:10" ht="16.5" customHeight="1">
      <c r="A108" s="13"/>
      <c r="B108" s="13"/>
      <c r="C108" s="13"/>
      <c r="D108" s="61"/>
      <c r="E108" s="62"/>
      <c r="F108" s="62"/>
      <c r="G108" s="14"/>
      <c r="H108" s="13"/>
      <c r="I108" s="19"/>
      <c r="J108" s="37"/>
    </row>
    <row r="109" spans="1:10" ht="16.5" customHeight="1">
      <c r="A109" s="12">
        <v>12</v>
      </c>
      <c r="B109" s="7" t="s">
        <v>78</v>
      </c>
      <c r="C109" s="7"/>
      <c r="D109" s="61"/>
      <c r="E109" s="62"/>
      <c r="F109" s="62"/>
      <c r="G109" s="14"/>
      <c r="H109" s="13"/>
      <c r="I109" s="19"/>
      <c r="J109" s="37"/>
    </row>
    <row r="110" spans="1:10" ht="16.5" customHeight="1">
      <c r="A110" s="19" t="s">
        <v>8</v>
      </c>
      <c r="B110" s="20" t="s">
        <v>79</v>
      </c>
      <c r="C110" s="20"/>
      <c r="D110" s="61">
        <v>1</v>
      </c>
      <c r="E110" s="62">
        <f>F130*1000*0.08</f>
        <v>161750.8388616</v>
      </c>
      <c r="F110" s="62">
        <f t="shared" ref="F110:F115" si="6">0.001*D110*E110</f>
        <v>161.75083886160002</v>
      </c>
      <c r="G110" s="14"/>
      <c r="H110" s="36" t="s">
        <v>164</v>
      </c>
      <c r="I110" s="19"/>
      <c r="J110" s="37"/>
    </row>
    <row r="111" spans="1:10">
      <c r="A111" s="19" t="s">
        <v>11</v>
      </c>
      <c r="B111" s="20" t="s">
        <v>80</v>
      </c>
      <c r="C111" s="20"/>
      <c r="D111" s="61">
        <v>1</v>
      </c>
      <c r="E111" s="62">
        <v>25000</v>
      </c>
      <c r="F111" s="62">
        <f t="shared" si="6"/>
        <v>25</v>
      </c>
      <c r="G111" s="14"/>
      <c r="H111" s="13" t="s">
        <v>10</v>
      </c>
      <c r="I111" s="19"/>
      <c r="J111" s="37"/>
    </row>
    <row r="112" spans="1:10" ht="16.5" customHeight="1">
      <c r="A112" s="19" t="s">
        <v>13</v>
      </c>
      <c r="B112" s="20" t="s">
        <v>81</v>
      </c>
      <c r="C112" s="20"/>
      <c r="D112" s="61">
        <v>1</v>
      </c>
      <c r="E112" s="62">
        <v>20000</v>
      </c>
      <c r="F112" s="62">
        <f t="shared" si="6"/>
        <v>20</v>
      </c>
      <c r="G112" s="14"/>
      <c r="H112" s="13" t="s">
        <v>82</v>
      </c>
      <c r="I112" s="19"/>
      <c r="J112" s="37"/>
    </row>
    <row r="113" spans="1:10" ht="16.5" customHeight="1">
      <c r="A113" s="19" t="s">
        <v>16</v>
      </c>
      <c r="B113" s="20" t="s">
        <v>83</v>
      </c>
      <c r="C113" s="20"/>
      <c r="D113" s="61">
        <v>1</v>
      </c>
      <c r="E113" s="62">
        <v>35000</v>
      </c>
      <c r="F113" s="62">
        <f t="shared" si="6"/>
        <v>35</v>
      </c>
      <c r="G113" s="14"/>
      <c r="H113" s="13" t="s">
        <v>91</v>
      </c>
      <c r="I113" s="19"/>
      <c r="J113" s="37"/>
    </row>
    <row r="114" spans="1:10">
      <c r="A114" s="19" t="s">
        <v>19</v>
      </c>
      <c r="B114" s="20" t="s">
        <v>84</v>
      </c>
      <c r="C114" s="20"/>
      <c r="D114" s="61">
        <v>1</v>
      </c>
      <c r="E114" s="62">
        <v>100000</v>
      </c>
      <c r="F114" s="62">
        <f t="shared" si="6"/>
        <v>100</v>
      </c>
      <c r="G114" s="14"/>
      <c r="H114" s="13" t="s">
        <v>10</v>
      </c>
      <c r="I114" s="19"/>
      <c r="J114" s="37"/>
    </row>
    <row r="115" spans="1:10" ht="16.5" customHeight="1">
      <c r="A115" s="26" t="s">
        <v>21</v>
      </c>
      <c r="B115" s="27" t="s">
        <v>20</v>
      </c>
      <c r="C115" s="27"/>
      <c r="D115" s="63"/>
      <c r="E115" s="64"/>
      <c r="F115" s="64">
        <f t="shared" si="6"/>
        <v>0</v>
      </c>
      <c r="G115" s="29"/>
      <c r="H115" s="28"/>
      <c r="I115" s="19"/>
      <c r="J115" s="37"/>
    </row>
    <row r="116" spans="1:10" ht="16.5" customHeight="1">
      <c r="A116" s="19" t="s">
        <v>35</v>
      </c>
      <c r="B116" s="19" t="s">
        <v>85</v>
      </c>
      <c r="C116" s="19"/>
      <c r="D116" s="61"/>
      <c r="E116" s="62"/>
      <c r="F116" s="62">
        <f>SUM(F110:F115)</f>
        <v>341.75083886160002</v>
      </c>
      <c r="G116" s="14"/>
      <c r="H116" s="13"/>
      <c r="I116" s="19"/>
      <c r="J116" s="37"/>
    </row>
    <row r="117" spans="1:10" ht="16.5" customHeight="1">
      <c r="A117" s="13"/>
      <c r="B117" s="13"/>
      <c r="C117" s="13"/>
      <c r="D117" s="61"/>
      <c r="E117" s="62"/>
      <c r="F117" s="62"/>
      <c r="G117" s="14"/>
      <c r="H117" s="13"/>
      <c r="I117" s="19"/>
      <c r="J117" s="37"/>
    </row>
    <row r="118" spans="1:10" ht="16.5" customHeight="1">
      <c r="A118" s="12"/>
      <c r="B118" s="7" t="s">
        <v>86</v>
      </c>
      <c r="C118" s="7"/>
      <c r="D118" s="61"/>
      <c r="E118" s="62"/>
      <c r="F118" s="62"/>
      <c r="G118" s="14"/>
      <c r="H118" s="13"/>
      <c r="I118" s="19"/>
      <c r="J118" s="37"/>
    </row>
    <row r="119" spans="1:10" ht="16.5" customHeight="1">
      <c r="A119" s="12">
        <f>A$2</f>
        <v>1</v>
      </c>
      <c r="B119" s="13" t="str">
        <f>B$2</f>
        <v>General</v>
      </c>
      <c r="C119" s="13"/>
      <c r="D119" s="61"/>
      <c r="E119" s="62"/>
      <c r="F119" s="62">
        <f>F$8</f>
        <v>119.8</v>
      </c>
      <c r="G119" s="14"/>
      <c r="H119" s="13"/>
      <c r="I119" s="19"/>
      <c r="J119" s="37"/>
    </row>
    <row r="120" spans="1:10" ht="16.5" customHeight="1">
      <c r="A120" s="12">
        <f>A$10</f>
        <v>2</v>
      </c>
      <c r="B120" s="13" t="str">
        <f>B$10</f>
        <v>Powerhouse/Intake</v>
      </c>
      <c r="C120" s="13"/>
      <c r="D120" s="61"/>
      <c r="E120" s="62"/>
      <c r="F120" s="62">
        <f>F$30</f>
        <v>538.38548576999995</v>
      </c>
      <c r="G120" s="14"/>
      <c r="H120" s="13"/>
      <c r="I120" s="19"/>
      <c r="J120" s="37"/>
    </row>
    <row r="121" spans="1:10" ht="16.5" customHeight="1">
      <c r="A121" s="12">
        <f>A$32</f>
        <v>3</v>
      </c>
      <c r="B121" s="13" t="str">
        <f>B$32</f>
        <v>Equipment</v>
      </c>
      <c r="C121" s="13"/>
      <c r="D121" s="61"/>
      <c r="E121" s="62"/>
      <c r="F121" s="62">
        <f>F$39</f>
        <v>618</v>
      </c>
      <c r="G121" s="14"/>
      <c r="H121" s="13"/>
      <c r="I121" s="19"/>
      <c r="J121" s="37"/>
    </row>
    <row r="122" spans="1:10" ht="16.5" hidden="1" customHeight="1">
      <c r="A122" s="43">
        <f>A$41</f>
        <v>4</v>
      </c>
      <c r="B122" s="11" t="str">
        <f>B$41</f>
        <v xml:space="preserve">Spillway </v>
      </c>
      <c r="E122" s="66"/>
      <c r="F122" s="66">
        <f>F$47</f>
        <v>0</v>
      </c>
      <c r="G122" s="44"/>
      <c r="I122" s="19"/>
      <c r="J122" s="37"/>
    </row>
    <row r="123" spans="1:10" ht="16.5" hidden="1" customHeight="1">
      <c r="A123" s="43">
        <f>A$49</f>
        <v>5</v>
      </c>
      <c r="B123" s="11" t="str">
        <f>B$49</f>
        <v>East (left) Dike</v>
      </c>
      <c r="E123" s="66"/>
      <c r="F123" s="66">
        <f>F$56</f>
        <v>0</v>
      </c>
      <c r="G123" s="33"/>
      <c r="I123" s="19"/>
      <c r="J123" s="37"/>
    </row>
    <row r="124" spans="1:10" ht="16.5" hidden="1" customHeight="1">
      <c r="A124" s="43">
        <f>A$58</f>
        <v>5</v>
      </c>
      <c r="B124" s="11" t="str">
        <f>B$58</f>
        <v>West (right) Dike</v>
      </c>
      <c r="E124" s="66"/>
      <c r="F124" s="66">
        <f>F$65</f>
        <v>0</v>
      </c>
      <c r="G124" s="33"/>
      <c r="I124" s="19"/>
      <c r="J124" s="37"/>
    </row>
    <row r="125" spans="1:10" ht="16.5" hidden="1" customHeight="1">
      <c r="A125" s="43">
        <f>A$67</f>
        <v>7</v>
      </c>
      <c r="B125" s="11" t="str">
        <f>B$67</f>
        <v>Canal</v>
      </c>
      <c r="E125" s="66"/>
      <c r="F125" s="66">
        <f>F$73</f>
        <v>0</v>
      </c>
      <c r="G125" s="33"/>
      <c r="I125" s="19"/>
      <c r="J125" s="37"/>
    </row>
    <row r="126" spans="1:10" ht="16.5" customHeight="1">
      <c r="A126" s="43">
        <f>A$75</f>
        <v>8</v>
      </c>
      <c r="B126" s="11" t="str">
        <f>B$75</f>
        <v>PM&amp;E Measures</v>
      </c>
      <c r="E126" s="66"/>
      <c r="F126" s="66">
        <f>F$82</f>
        <v>167.5</v>
      </c>
      <c r="G126" s="33"/>
      <c r="I126" s="19"/>
      <c r="J126" s="37"/>
    </row>
    <row r="127" spans="1:10" ht="16.5" customHeight="1">
      <c r="A127" s="43">
        <f>A$84</f>
        <v>9</v>
      </c>
      <c r="B127" s="176" t="s">
        <v>247</v>
      </c>
      <c r="E127" s="66"/>
      <c r="F127" s="66">
        <f>F$91</f>
        <v>400</v>
      </c>
      <c r="G127" s="33"/>
      <c r="I127" s="19"/>
      <c r="J127" s="37"/>
    </row>
    <row r="128" spans="1:10" ht="16.5" customHeight="1">
      <c r="A128" s="43">
        <f>A$93</f>
        <v>10</v>
      </c>
      <c r="B128" s="11" t="str">
        <f>B$93</f>
        <v>Land &amp; Land Rights</v>
      </c>
      <c r="E128" s="66"/>
      <c r="F128" s="66">
        <f>F$99</f>
        <v>40</v>
      </c>
      <c r="G128" s="33"/>
      <c r="I128" s="19"/>
      <c r="J128" s="37"/>
    </row>
    <row r="129" spans="1:10" ht="16.5" customHeight="1">
      <c r="A129" s="45">
        <f>A$101</f>
        <v>11</v>
      </c>
      <c r="B129" s="46" t="str">
        <f>B$101</f>
        <v>Interconnection</v>
      </c>
      <c r="C129" s="46"/>
      <c r="D129" s="70"/>
      <c r="E129" s="71"/>
      <c r="F129" s="71">
        <f>F$107</f>
        <v>138.19999999999999</v>
      </c>
      <c r="G129" s="47"/>
      <c r="H129" s="183"/>
      <c r="I129" s="19"/>
      <c r="J129" s="37"/>
    </row>
    <row r="130" spans="1:10" ht="16.5" customHeight="1">
      <c r="A130" s="43"/>
      <c r="B130" s="48" t="s">
        <v>87</v>
      </c>
      <c r="C130" s="48"/>
      <c r="E130" s="66"/>
      <c r="F130" s="66">
        <f>SUM(F119:F129)</f>
        <v>2021.8854857700001</v>
      </c>
      <c r="G130" s="33"/>
      <c r="I130" s="19"/>
      <c r="J130" s="37"/>
    </row>
    <row r="131" spans="1:10" ht="16.5" customHeight="1">
      <c r="A131" s="43"/>
      <c r="B131" s="48"/>
      <c r="C131" s="48"/>
      <c r="E131" s="66"/>
      <c r="F131" s="66"/>
      <c r="G131" s="33"/>
      <c r="I131" s="19"/>
      <c r="J131" s="37"/>
    </row>
    <row r="132" spans="1:10" ht="16.5" customHeight="1">
      <c r="A132" s="45">
        <f>A$109</f>
        <v>12</v>
      </c>
      <c r="B132" s="46" t="str">
        <f>B$109</f>
        <v>Indirect Costs</v>
      </c>
      <c r="C132" s="46"/>
      <c r="D132" s="70"/>
      <c r="E132" s="71"/>
      <c r="F132" s="71">
        <f>F$116</f>
        <v>341.75083886160002</v>
      </c>
      <c r="G132" s="47"/>
      <c r="H132" s="46"/>
      <c r="I132" s="19"/>
      <c r="J132" s="37"/>
    </row>
    <row r="133" spans="1:10" ht="16.5" customHeight="1">
      <c r="A133" s="43"/>
      <c r="B133" s="48" t="s">
        <v>88</v>
      </c>
      <c r="C133" s="48"/>
      <c r="E133" s="66"/>
      <c r="F133" s="72">
        <f>F$130+F$132</f>
        <v>2363.6363246316</v>
      </c>
      <c r="G133" s="49"/>
      <c r="I133" s="19"/>
      <c r="J133" s="37"/>
    </row>
    <row r="134" spans="1:10" ht="16.5" customHeight="1">
      <c r="A134" s="43"/>
      <c r="B134" s="48"/>
      <c r="C134" s="48"/>
      <c r="E134" s="66"/>
      <c r="F134" s="72"/>
      <c r="G134" s="49"/>
      <c r="I134" s="19"/>
      <c r="J134" s="37"/>
    </row>
    <row r="135" spans="1:10" ht="16.5" customHeight="1">
      <c r="A135" s="45">
        <v>13</v>
      </c>
      <c r="B135" s="46" t="s">
        <v>89</v>
      </c>
      <c r="C135" s="46"/>
      <c r="D135" s="73">
        <f>F$133*1000</f>
        <v>2363636.3246316002</v>
      </c>
      <c r="E135" s="245">
        <v>0.2</v>
      </c>
      <c r="F135" s="71">
        <f>D135*E135*0.001</f>
        <v>472.72726492632006</v>
      </c>
      <c r="G135" s="47"/>
      <c r="H135" s="46"/>
      <c r="I135" s="19"/>
      <c r="J135" s="37"/>
    </row>
    <row r="136" spans="1:10" ht="16.5" customHeight="1">
      <c r="E136" s="66"/>
      <c r="F136" s="66"/>
      <c r="G136" s="33"/>
      <c r="I136" s="19"/>
      <c r="J136" s="37"/>
    </row>
    <row r="137" spans="1:10" ht="16.5" customHeight="1">
      <c r="A137" s="12"/>
      <c r="B137" s="50" t="s">
        <v>90</v>
      </c>
      <c r="C137" s="7"/>
      <c r="D137" s="61"/>
      <c r="E137" s="62"/>
      <c r="F137" s="60">
        <f>F$133+F$135</f>
        <v>2836.36358955792</v>
      </c>
      <c r="G137" s="8"/>
      <c r="H137" s="13"/>
      <c r="I137" s="19"/>
      <c r="J137" s="37"/>
    </row>
    <row r="138" spans="1:10">
      <c r="I138" s="19"/>
      <c r="J138" s="37"/>
    </row>
    <row r="139" spans="1:10">
      <c r="I139" s="19"/>
      <c r="J139" s="37"/>
    </row>
    <row r="140" spans="1:10">
      <c r="I140" s="19"/>
      <c r="J140" s="37"/>
    </row>
    <row r="141" spans="1:10">
      <c r="I141" s="19"/>
      <c r="J141" s="37"/>
    </row>
    <row r="142" spans="1:10">
      <c r="I142" s="19"/>
      <c r="J142" s="37"/>
    </row>
    <row r="143" spans="1:10">
      <c r="I143" s="19"/>
      <c r="J143" s="37"/>
    </row>
    <row r="144" spans="1:10">
      <c r="I144" s="19"/>
      <c r="J144" s="37"/>
    </row>
    <row r="145" spans="9:10">
      <c r="I145" s="19"/>
      <c r="J145" s="37"/>
    </row>
    <row r="146" spans="9:10">
      <c r="I146" s="19"/>
      <c r="J146" s="37"/>
    </row>
    <row r="147" spans="9:10">
      <c r="I147" s="19"/>
      <c r="J147" s="37"/>
    </row>
    <row r="148" spans="9:10">
      <c r="I148" s="19"/>
      <c r="J148" s="37"/>
    </row>
    <row r="149" spans="9:10">
      <c r="I149" s="19"/>
      <c r="J149" s="37"/>
    </row>
    <row r="150" spans="9:10">
      <c r="I150" s="19"/>
      <c r="J150" s="37"/>
    </row>
    <row r="151" spans="9:10">
      <c r="I151" s="19"/>
      <c r="J151" s="37"/>
    </row>
    <row r="152" spans="9:10">
      <c r="I152" s="19"/>
      <c r="J152" s="37"/>
    </row>
    <row r="153" spans="9:10">
      <c r="I153" s="19"/>
      <c r="J153" s="37"/>
    </row>
    <row r="154" spans="9:10">
      <c r="I154" s="19"/>
      <c r="J154" s="37"/>
    </row>
    <row r="155" spans="9:10">
      <c r="I155" s="19"/>
      <c r="J155" s="37"/>
    </row>
    <row r="156" spans="9:10">
      <c r="I156" s="19"/>
      <c r="J156" s="37"/>
    </row>
    <row r="157" spans="9:10">
      <c r="I157" s="19"/>
      <c r="J157" s="37"/>
    </row>
    <row r="158" spans="9:10">
      <c r="I158" s="19"/>
      <c r="J158" s="37"/>
    </row>
    <row r="159" spans="9:10">
      <c r="I159" s="19"/>
      <c r="J159" s="37"/>
    </row>
    <row r="160" spans="9:10">
      <c r="I160" s="19"/>
      <c r="J160" s="37"/>
    </row>
    <row r="161" spans="9:10">
      <c r="I161" s="19"/>
      <c r="J161" s="37"/>
    </row>
    <row r="162" spans="9:10">
      <c r="I162" s="19"/>
      <c r="J162" s="37"/>
    </row>
    <row r="163" spans="9:10">
      <c r="I163" s="19"/>
      <c r="J163" s="37"/>
    </row>
    <row r="164" spans="9:10">
      <c r="I164" s="19"/>
      <c r="J164" s="37"/>
    </row>
    <row r="165" spans="9:10">
      <c r="I165" s="19"/>
      <c r="J165" s="37"/>
    </row>
    <row r="166" spans="9:10">
      <c r="I166" s="19"/>
      <c r="J166" s="37"/>
    </row>
    <row r="167" spans="9:10">
      <c r="I167" s="19"/>
      <c r="J167" s="37"/>
    </row>
    <row r="168" spans="9:10">
      <c r="I168" s="19"/>
      <c r="J168" s="37"/>
    </row>
    <row r="169" spans="9:10">
      <c r="I169" s="19"/>
      <c r="J169" s="37"/>
    </row>
    <row r="170" spans="9:10">
      <c r="I170" s="19"/>
      <c r="J170" s="37"/>
    </row>
    <row r="171" spans="9:10">
      <c r="I171" s="19"/>
      <c r="J171" s="37"/>
    </row>
    <row r="172" spans="9:10">
      <c r="I172" s="19"/>
      <c r="J172" s="37"/>
    </row>
    <row r="173" spans="9:10">
      <c r="I173" s="19"/>
      <c r="J173" s="37"/>
    </row>
    <row r="174" spans="9:10">
      <c r="I174" s="19"/>
      <c r="J174" s="37"/>
    </row>
  </sheetData>
  <mergeCells count="1">
    <mergeCell ref="L3:S11"/>
  </mergeCells>
  <conditionalFormatting sqref="I24:N65536 I3:I5 I17:I22 N12:N22 L3 I7:I15 K18:L22 M20:M22 K5 K8:K15 L12:M15">
    <cfRule type="cellIs" dxfId="11" priority="3" stopIfTrue="1" operator="equal">
      <formula>0</formula>
    </cfRule>
  </conditionalFormatting>
  <conditionalFormatting sqref="L3">
    <cfRule type="cellIs" dxfId="10" priority="2" stopIfTrue="1" operator="equal">
      <formula>0</formula>
    </cfRule>
  </conditionalFormatting>
  <conditionalFormatting sqref="I24:N107 I17:I22 N12:N22 I10:I15 K18:L22 M20:M22 K10:K15 L12:M15">
    <cfRule type="cellIs" dxfId="9" priority="1" stopIfTrue="1" operator="equal">
      <formula>0</formula>
    </cfRule>
  </conditionalFormatting>
  <printOptions horizontalCentered="1" gridLines="1"/>
  <pageMargins left="0.75" right="0.75" top="0.63" bottom="0.63" header="0.32" footer="0.45"/>
  <pageSetup scale="61" fitToHeight="2" orientation="portrait" r:id="rId1"/>
  <headerFooter alignWithMargins="0">
    <oddHeader>&amp;L&amp;"Arial,Bold Italic"&amp;11&amp;A&amp;C&amp;"Arial,Bold Italic"&amp;11Ten Mile River Hydro
Phase I Feasibility Study&amp;R&amp;"Arial,Bold Italic"&amp;11For Planning Purposes Only</oddHeader>
    <oddFooter>&amp;L&amp;F&amp;R&amp;G</oddFooter>
  </headerFooter>
  <rowBreaks count="1" manualBreakCount="1">
    <brk id="92" max="7" man="1"/>
  </rowBreaks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theme="5"/>
  </sheetPr>
  <dimension ref="A1:S174"/>
  <sheetViews>
    <sheetView view="pageBreakPreview" zoomScale="75" zoomScaleNormal="100" zoomScaleSheetLayoutView="75" workbookViewId="0">
      <selection activeCell="H85" sqref="H85"/>
    </sheetView>
  </sheetViews>
  <sheetFormatPr defaultRowHeight="12.75"/>
  <cols>
    <col min="1" max="1" width="4.85546875" style="11" customWidth="1"/>
    <col min="2" max="2" width="32.5703125" style="11" customWidth="1"/>
    <col min="3" max="3" width="9.140625" style="11"/>
    <col min="4" max="4" width="12.42578125" style="69" customWidth="1"/>
    <col min="5" max="5" width="9.42578125" style="69" customWidth="1"/>
    <col min="6" max="6" width="12.85546875" style="69" customWidth="1"/>
    <col min="7" max="7" width="3.140625" style="11" customWidth="1"/>
    <col min="8" max="8" width="60.7109375" style="11" customWidth="1"/>
    <col min="9" max="9" width="4.85546875" style="11" customWidth="1"/>
    <col min="10" max="10" width="12.28515625" style="51" customWidth="1"/>
    <col min="11" max="11" width="12.42578125" style="10" customWidth="1"/>
    <col min="12" max="12" width="12.5703125" style="10" customWidth="1"/>
    <col min="13" max="14" width="9.140625" style="10"/>
    <col min="15" max="16384" width="9.140625" style="11"/>
  </cols>
  <sheetData>
    <row r="1" spans="1:19" ht="25.5">
      <c r="A1" s="7" t="s">
        <v>0</v>
      </c>
      <c r="B1" s="7" t="s">
        <v>1</v>
      </c>
      <c r="C1" s="7" t="s">
        <v>2</v>
      </c>
      <c r="D1" s="12" t="s">
        <v>3</v>
      </c>
      <c r="E1" s="60" t="s">
        <v>4</v>
      </c>
      <c r="F1" s="60" t="s">
        <v>5</v>
      </c>
      <c r="G1" s="8"/>
      <c r="H1" s="7" t="s">
        <v>6</v>
      </c>
      <c r="I1" s="7"/>
      <c r="J1" s="9"/>
      <c r="L1" s="10" t="s">
        <v>270</v>
      </c>
    </row>
    <row r="2" spans="1:19" ht="16.5" customHeight="1">
      <c r="A2" s="12">
        <v>1</v>
      </c>
      <c r="B2" s="7" t="s">
        <v>7</v>
      </c>
      <c r="C2" s="7"/>
      <c r="D2" s="61"/>
      <c r="E2" s="62"/>
      <c r="F2" s="62"/>
      <c r="G2" s="14"/>
      <c r="H2" s="13"/>
      <c r="I2" s="15"/>
      <c r="J2" s="16"/>
      <c r="K2" s="170"/>
      <c r="L2" s="141" t="s">
        <v>228</v>
      </c>
      <c r="M2" s="17"/>
      <c r="N2" s="17"/>
      <c r="O2" s="18"/>
      <c r="P2" s="18"/>
    </row>
    <row r="3" spans="1:19" ht="16.5" customHeight="1">
      <c r="A3" s="19" t="s">
        <v>8</v>
      </c>
      <c r="B3" s="20" t="s">
        <v>9</v>
      </c>
      <c r="C3" s="20"/>
      <c r="D3" s="61">
        <v>1</v>
      </c>
      <c r="E3" s="62">
        <v>25000</v>
      </c>
      <c r="F3" s="62">
        <f>0.001*D3*E3</f>
        <v>25</v>
      </c>
      <c r="G3" s="14"/>
      <c r="H3" s="13" t="s">
        <v>10</v>
      </c>
      <c r="I3" s="21"/>
      <c r="J3" s="22"/>
      <c r="L3" s="374" t="s">
        <v>297</v>
      </c>
      <c r="M3" s="374"/>
      <c r="N3" s="374"/>
      <c r="O3" s="374"/>
      <c r="P3" s="374"/>
      <c r="Q3" s="374"/>
      <c r="R3" s="374"/>
      <c r="S3" s="374"/>
    </row>
    <row r="4" spans="1:19" ht="16.5" customHeight="1">
      <c r="A4" s="19" t="s">
        <v>11</v>
      </c>
      <c r="B4" s="20" t="s">
        <v>12</v>
      </c>
      <c r="C4" s="20"/>
      <c r="D4" s="61">
        <v>1</v>
      </c>
      <c r="E4" s="62">
        <v>10000</v>
      </c>
      <c r="F4" s="62">
        <f>0.001*D4*E4</f>
        <v>10</v>
      </c>
      <c r="G4" s="14"/>
      <c r="H4" s="13" t="s">
        <v>10</v>
      </c>
      <c r="I4" s="21"/>
      <c r="J4" s="22"/>
      <c r="K4" s="140"/>
      <c r="L4" s="374"/>
      <c r="M4" s="374"/>
      <c r="N4" s="374"/>
      <c r="O4" s="374"/>
      <c r="P4" s="374"/>
      <c r="Q4" s="374"/>
      <c r="R4" s="374"/>
      <c r="S4" s="374"/>
    </row>
    <row r="5" spans="1:19" ht="18.75" customHeight="1">
      <c r="A5" s="19" t="s">
        <v>13</v>
      </c>
      <c r="B5" s="23" t="s">
        <v>14</v>
      </c>
      <c r="C5" s="23" t="s">
        <v>15</v>
      </c>
      <c r="D5" s="61">
        <v>4</v>
      </c>
      <c r="E5" s="62">
        <v>6200</v>
      </c>
      <c r="F5" s="62">
        <f>0.001*D5*E5</f>
        <v>24.8</v>
      </c>
      <c r="G5" s="14"/>
      <c r="H5" s="142" t="s">
        <v>285</v>
      </c>
      <c r="I5" s="21"/>
      <c r="J5" s="22"/>
      <c r="K5" s="17"/>
      <c r="L5" s="374"/>
      <c r="M5" s="374"/>
      <c r="N5" s="374"/>
      <c r="O5" s="374"/>
      <c r="P5" s="374"/>
      <c r="Q5" s="374"/>
      <c r="R5" s="374"/>
      <c r="S5" s="374"/>
    </row>
    <row r="6" spans="1:19" ht="16.5" customHeight="1">
      <c r="A6" s="19" t="s">
        <v>16</v>
      </c>
      <c r="B6" s="23" t="s">
        <v>17</v>
      </c>
      <c r="C6" s="23" t="s">
        <v>18</v>
      </c>
      <c r="D6" s="61">
        <v>2000</v>
      </c>
      <c r="E6" s="62">
        <v>10</v>
      </c>
      <c r="F6" s="62">
        <f>0.001*D6*E6</f>
        <v>20</v>
      </c>
      <c r="G6" s="14"/>
      <c r="H6" s="142" t="s">
        <v>285</v>
      </c>
      <c r="I6" s="18"/>
      <c r="J6" s="24"/>
      <c r="K6" s="25"/>
      <c r="L6" s="374"/>
      <c r="M6" s="374"/>
      <c r="N6" s="374"/>
      <c r="O6" s="374"/>
      <c r="P6" s="374"/>
      <c r="Q6" s="374"/>
      <c r="R6" s="374"/>
      <c r="S6" s="374"/>
    </row>
    <row r="7" spans="1:19" ht="16.5" customHeight="1">
      <c r="A7" s="26" t="s">
        <v>19</v>
      </c>
      <c r="B7" s="27" t="s">
        <v>151</v>
      </c>
      <c r="C7" s="27"/>
      <c r="D7" s="184">
        <v>1</v>
      </c>
      <c r="E7" s="64">
        <f>('Phase I Dam Repairs'!D4)*1000</f>
        <v>40000</v>
      </c>
      <c r="F7" s="64">
        <f>0.001*D7*E7</f>
        <v>40</v>
      </c>
      <c r="G7" s="29"/>
      <c r="H7" s="238" t="s">
        <v>286</v>
      </c>
      <c r="I7" s="21"/>
      <c r="J7" s="22"/>
      <c r="K7" s="30"/>
      <c r="L7" s="374"/>
      <c r="M7" s="374"/>
      <c r="N7" s="374"/>
      <c r="O7" s="374"/>
      <c r="P7" s="374"/>
      <c r="Q7" s="374"/>
      <c r="R7" s="374"/>
      <c r="S7" s="374"/>
    </row>
    <row r="8" spans="1:19" ht="16.5" customHeight="1">
      <c r="A8" s="19" t="s">
        <v>21</v>
      </c>
      <c r="B8" s="19" t="s">
        <v>22</v>
      </c>
      <c r="C8" s="19"/>
      <c r="D8" s="61"/>
      <c r="E8" s="62"/>
      <c r="F8" s="62">
        <f>SUM(F2:F7)</f>
        <v>119.8</v>
      </c>
      <c r="G8" s="14"/>
      <c r="H8" s="13"/>
      <c r="I8" s="21"/>
      <c r="J8" s="22"/>
      <c r="K8" s="31"/>
      <c r="L8" s="374"/>
      <c r="M8" s="374"/>
      <c r="N8" s="374"/>
      <c r="O8" s="374"/>
      <c r="P8" s="374"/>
      <c r="Q8" s="374"/>
      <c r="R8" s="374"/>
      <c r="S8" s="374"/>
    </row>
    <row r="9" spans="1:19" ht="16.5" customHeight="1">
      <c r="A9" s="19"/>
      <c r="B9" s="13"/>
      <c r="C9" s="13"/>
      <c r="D9" s="61"/>
      <c r="E9" s="62"/>
      <c r="F9" s="62"/>
      <c r="G9" s="14"/>
      <c r="H9" s="13"/>
      <c r="I9" s="21"/>
      <c r="J9" s="22"/>
      <c r="K9" s="31"/>
      <c r="L9" s="374"/>
      <c r="M9" s="374"/>
      <c r="N9" s="374"/>
      <c r="O9" s="374"/>
      <c r="P9" s="374"/>
      <c r="Q9" s="374"/>
      <c r="R9" s="374"/>
      <c r="S9" s="374"/>
    </row>
    <row r="10" spans="1:19" ht="16.5" customHeight="1">
      <c r="A10" s="12">
        <v>2</v>
      </c>
      <c r="B10" s="7" t="s">
        <v>130</v>
      </c>
      <c r="C10" s="7"/>
      <c r="D10" s="65"/>
      <c r="E10" s="62"/>
      <c r="F10" s="62"/>
      <c r="G10" s="14"/>
      <c r="H10" s="13"/>
      <c r="I10" s="21"/>
      <c r="J10" s="22"/>
      <c r="K10" s="31"/>
      <c r="L10" s="374"/>
      <c r="M10" s="374"/>
      <c r="N10" s="374"/>
      <c r="O10" s="374"/>
      <c r="P10" s="374"/>
      <c r="Q10" s="374"/>
      <c r="R10" s="374"/>
      <c r="S10" s="374"/>
    </row>
    <row r="11" spans="1:19" ht="16.5" customHeight="1">
      <c r="A11" s="19" t="s">
        <v>8</v>
      </c>
      <c r="B11" s="20" t="s">
        <v>114</v>
      </c>
      <c r="C11" s="32"/>
      <c r="D11" s="66"/>
      <c r="E11" s="62"/>
      <c r="F11" s="62">
        <v>100</v>
      </c>
      <c r="G11" s="14"/>
      <c r="H11" s="13" t="s">
        <v>10</v>
      </c>
      <c r="I11" s="21"/>
      <c r="J11" s="22"/>
      <c r="K11" s="31"/>
      <c r="L11" s="374"/>
      <c r="M11" s="374"/>
      <c r="N11" s="374"/>
      <c r="O11" s="374"/>
      <c r="P11" s="374"/>
      <c r="Q11" s="374"/>
      <c r="R11" s="374"/>
      <c r="S11" s="374"/>
    </row>
    <row r="12" spans="1:19" ht="16.5" customHeight="1">
      <c r="A12" s="19" t="s">
        <v>11</v>
      </c>
      <c r="B12" s="194" t="s">
        <v>375</v>
      </c>
      <c r="C12" s="32"/>
      <c r="D12" s="66"/>
      <c r="E12" s="62"/>
      <c r="F12" s="62">
        <v>25</v>
      </c>
      <c r="G12" s="14"/>
      <c r="H12" s="13" t="s">
        <v>10</v>
      </c>
      <c r="I12" s="21"/>
      <c r="J12" s="22"/>
      <c r="K12" s="31"/>
      <c r="L12" s="31"/>
      <c r="M12" s="31"/>
      <c r="N12" s="17"/>
      <c r="O12" s="18"/>
      <c r="P12" s="18"/>
    </row>
    <row r="13" spans="1:19" ht="16.5" customHeight="1">
      <c r="A13" s="19" t="s">
        <v>13</v>
      </c>
      <c r="B13" s="194" t="s">
        <v>318</v>
      </c>
      <c r="C13" s="20"/>
      <c r="D13" s="66">
        <v>1</v>
      </c>
      <c r="E13" s="259">
        <v>100000</v>
      </c>
      <c r="F13" s="62">
        <f t="shared" ref="F13:F29" si="0">0.001*D13*E13</f>
        <v>100</v>
      </c>
      <c r="G13" s="14"/>
      <c r="H13" s="142" t="s">
        <v>380</v>
      </c>
      <c r="I13" s="21"/>
      <c r="J13" s="22"/>
      <c r="K13" s="31"/>
      <c r="L13" s="31"/>
      <c r="M13" s="31"/>
      <c r="N13" s="17"/>
      <c r="O13" s="18"/>
      <c r="P13" s="18"/>
    </row>
    <row r="14" spans="1:19" ht="16.5" hidden="1" customHeight="1">
      <c r="A14" s="19" t="s">
        <v>25</v>
      </c>
      <c r="B14" s="34" t="s">
        <v>26</v>
      </c>
      <c r="C14" s="23" t="s">
        <v>27</v>
      </c>
      <c r="D14" s="189">
        <v>0</v>
      </c>
      <c r="E14" s="186">
        <v>100</v>
      </c>
      <c r="F14" s="186">
        <f t="shared" si="0"/>
        <v>0</v>
      </c>
      <c r="G14" s="187"/>
      <c r="H14" s="188" t="s">
        <v>288</v>
      </c>
      <c r="I14" s="21"/>
      <c r="J14" s="22"/>
      <c r="K14" s="17"/>
      <c r="L14" s="17"/>
      <c r="M14" s="17"/>
      <c r="N14" s="17"/>
      <c r="O14" s="18"/>
      <c r="P14" s="18"/>
    </row>
    <row r="15" spans="1:19" ht="27.75" hidden="1" customHeight="1">
      <c r="A15" s="19" t="s">
        <v>28</v>
      </c>
      <c r="B15" s="35" t="s">
        <v>29</v>
      </c>
      <c r="C15" s="23" t="s">
        <v>27</v>
      </c>
      <c r="D15" s="190">
        <v>0</v>
      </c>
      <c r="E15" s="186">
        <v>100</v>
      </c>
      <c r="F15" s="186">
        <f t="shared" si="0"/>
        <v>0</v>
      </c>
      <c r="G15" s="187"/>
      <c r="H15" s="188" t="s">
        <v>288</v>
      </c>
      <c r="I15" s="21"/>
      <c r="J15" s="22"/>
      <c r="K15" s="17"/>
      <c r="L15" s="17"/>
      <c r="M15" s="17"/>
      <c r="N15" s="17"/>
      <c r="O15" s="18"/>
      <c r="P15" s="18"/>
    </row>
    <row r="16" spans="1:19" ht="16.5" hidden="1" customHeight="1">
      <c r="A16" s="19" t="s">
        <v>30</v>
      </c>
      <c r="B16" s="35" t="s">
        <v>31</v>
      </c>
      <c r="C16" s="23" t="s">
        <v>27</v>
      </c>
      <c r="D16" s="190">
        <v>0</v>
      </c>
      <c r="E16" s="186">
        <v>100</v>
      </c>
      <c r="F16" s="186">
        <f t="shared" si="0"/>
        <v>0</v>
      </c>
      <c r="G16" s="187"/>
      <c r="H16" s="188" t="s">
        <v>288</v>
      </c>
      <c r="I16" s="18"/>
      <c r="J16" s="24"/>
      <c r="K16" s="25"/>
      <c r="L16" s="25"/>
      <c r="M16" s="25"/>
      <c r="N16" s="17"/>
      <c r="O16" s="18"/>
      <c r="P16" s="18"/>
    </row>
    <row r="17" spans="1:16" ht="16.5" hidden="1" customHeight="1">
      <c r="A17" s="21" t="s">
        <v>16</v>
      </c>
      <c r="B17" s="23" t="s">
        <v>32</v>
      </c>
      <c r="C17" s="23"/>
      <c r="D17" s="190">
        <v>0</v>
      </c>
      <c r="E17" s="186">
        <v>10000</v>
      </c>
      <c r="F17" s="186">
        <f t="shared" si="0"/>
        <v>0</v>
      </c>
      <c r="G17" s="187"/>
      <c r="H17" s="188" t="s">
        <v>288</v>
      </c>
      <c r="I17" s="21"/>
      <c r="J17" s="22"/>
      <c r="K17" s="30"/>
      <c r="L17" s="30"/>
      <c r="M17" s="30"/>
      <c r="N17" s="17"/>
      <c r="O17" s="18"/>
      <c r="P17" s="18"/>
    </row>
    <row r="18" spans="1:16" ht="16.5" hidden="1" customHeight="1">
      <c r="A18" s="19" t="s">
        <v>19</v>
      </c>
      <c r="B18" s="23" t="s">
        <v>33</v>
      </c>
      <c r="C18" s="23" t="s">
        <v>34</v>
      </c>
      <c r="D18" s="190">
        <v>0</v>
      </c>
      <c r="E18" s="186">
        <v>1000</v>
      </c>
      <c r="F18" s="186">
        <f t="shared" si="0"/>
        <v>0</v>
      </c>
      <c r="G18" s="187"/>
      <c r="H18" s="188" t="s">
        <v>288</v>
      </c>
      <c r="I18" s="21"/>
      <c r="J18" s="22"/>
      <c r="K18" s="31"/>
      <c r="L18" s="31"/>
      <c r="M18" s="30"/>
      <c r="N18" s="17"/>
      <c r="O18" s="18"/>
      <c r="P18" s="18"/>
    </row>
    <row r="19" spans="1:16" ht="16.5" hidden="1" customHeight="1">
      <c r="A19" s="19" t="s">
        <v>21</v>
      </c>
      <c r="B19" s="23" t="s">
        <v>57</v>
      </c>
      <c r="C19" s="23" t="s">
        <v>27</v>
      </c>
      <c r="D19" s="190">
        <v>0</v>
      </c>
      <c r="E19" s="186">
        <v>750</v>
      </c>
      <c r="F19" s="186">
        <f t="shared" si="0"/>
        <v>0</v>
      </c>
      <c r="G19" s="187"/>
      <c r="H19" s="188" t="s">
        <v>288</v>
      </c>
      <c r="I19" s="21"/>
      <c r="J19" s="22"/>
      <c r="K19" s="31"/>
      <c r="L19" s="31"/>
      <c r="M19" s="30"/>
      <c r="N19" s="17"/>
      <c r="O19" s="18"/>
      <c r="P19" s="18"/>
    </row>
    <row r="20" spans="1:16" ht="16.5" hidden="1" customHeight="1">
      <c r="A20" s="19" t="s">
        <v>35</v>
      </c>
      <c r="B20" s="23" t="s">
        <v>124</v>
      </c>
      <c r="C20" s="23" t="s">
        <v>23</v>
      </c>
      <c r="D20" s="190">
        <v>0</v>
      </c>
      <c r="E20" s="186">
        <v>100</v>
      </c>
      <c r="F20" s="186">
        <f t="shared" si="0"/>
        <v>0</v>
      </c>
      <c r="G20" s="187"/>
      <c r="H20" s="188" t="s">
        <v>288</v>
      </c>
      <c r="I20" s="21"/>
      <c r="J20" s="22"/>
      <c r="K20" s="31"/>
      <c r="L20" s="31"/>
      <c r="M20" s="31"/>
      <c r="N20" s="17"/>
      <c r="O20" s="18"/>
      <c r="P20" s="18"/>
    </row>
    <row r="21" spans="1:16" ht="16.5" hidden="1" customHeight="1">
      <c r="A21" s="19" t="s">
        <v>36</v>
      </c>
      <c r="B21" s="20" t="s">
        <v>37</v>
      </c>
      <c r="C21" s="32" t="s">
        <v>23</v>
      </c>
      <c r="D21" s="189">
        <v>0</v>
      </c>
      <c r="E21" s="186">
        <v>400</v>
      </c>
      <c r="F21" s="186">
        <f t="shared" si="0"/>
        <v>0</v>
      </c>
      <c r="G21" s="187"/>
      <c r="H21" s="188" t="s">
        <v>158</v>
      </c>
      <c r="I21" s="21"/>
      <c r="J21" s="22"/>
      <c r="K21" s="31"/>
      <c r="L21" s="31"/>
      <c r="M21" s="31"/>
      <c r="N21" s="17"/>
      <c r="O21" s="18"/>
      <c r="P21" s="18"/>
    </row>
    <row r="22" spans="1:16" ht="16.5" hidden="1" customHeight="1">
      <c r="A22" s="19" t="s">
        <v>25</v>
      </c>
      <c r="B22" s="20" t="s">
        <v>38</v>
      </c>
      <c r="C22" s="32"/>
      <c r="D22" s="66">
        <v>0</v>
      </c>
      <c r="E22" s="62">
        <v>150000</v>
      </c>
      <c r="F22" s="62">
        <f t="shared" si="0"/>
        <v>0</v>
      </c>
      <c r="G22" s="14"/>
      <c r="H22" s="36" t="s">
        <v>159</v>
      </c>
      <c r="I22" s="21"/>
      <c r="J22" s="22"/>
      <c r="K22" s="31"/>
      <c r="L22" s="31"/>
      <c r="M22" s="31"/>
      <c r="N22" s="17"/>
      <c r="O22" s="18"/>
      <c r="P22" s="18"/>
    </row>
    <row r="23" spans="1:16" ht="16.5" hidden="1" customHeight="1">
      <c r="A23" s="19" t="s">
        <v>39</v>
      </c>
      <c r="B23" s="23" t="s">
        <v>160</v>
      </c>
      <c r="C23" s="20"/>
      <c r="D23" s="61">
        <v>0</v>
      </c>
      <c r="E23" s="62">
        <v>15000</v>
      </c>
      <c r="F23" s="62">
        <f t="shared" si="0"/>
        <v>0</v>
      </c>
      <c r="G23" s="14"/>
      <c r="H23" s="36" t="s">
        <v>10</v>
      </c>
      <c r="J23" s="11"/>
      <c r="K23" s="11"/>
      <c r="L23" s="11"/>
      <c r="M23" s="11"/>
      <c r="N23" s="11"/>
    </row>
    <row r="24" spans="1:16" ht="33" customHeight="1">
      <c r="A24" s="19" t="s">
        <v>40</v>
      </c>
      <c r="B24" s="194" t="s">
        <v>292</v>
      </c>
      <c r="C24" s="194" t="s">
        <v>18</v>
      </c>
      <c r="D24" s="61">
        <v>300</v>
      </c>
      <c r="E24" s="62">
        <v>551</v>
      </c>
      <c r="F24" s="62">
        <f t="shared" si="0"/>
        <v>165.29999999999998</v>
      </c>
      <c r="G24" s="14"/>
      <c r="H24" s="142" t="s">
        <v>444</v>
      </c>
      <c r="I24" s="19"/>
      <c r="J24" s="37"/>
    </row>
    <row r="25" spans="1:16" ht="16.5" customHeight="1">
      <c r="A25" s="19" t="s">
        <v>41</v>
      </c>
      <c r="B25" s="20" t="s">
        <v>42</v>
      </c>
      <c r="C25" s="20"/>
      <c r="D25" s="61">
        <v>1</v>
      </c>
      <c r="E25" s="62">
        <v>5000</v>
      </c>
      <c r="F25" s="62">
        <f t="shared" si="0"/>
        <v>5</v>
      </c>
      <c r="G25" s="14"/>
      <c r="H25" s="13" t="s">
        <v>10</v>
      </c>
      <c r="I25" s="19"/>
      <c r="J25" s="37"/>
    </row>
    <row r="26" spans="1:16" ht="16.5" customHeight="1">
      <c r="A26" s="19" t="s">
        <v>43</v>
      </c>
      <c r="B26" s="20" t="s">
        <v>44</v>
      </c>
      <c r="C26" s="20"/>
      <c r="D26" s="61">
        <v>1</v>
      </c>
      <c r="E26" s="239">
        <v>10000</v>
      </c>
      <c r="F26" s="239">
        <f t="shared" si="0"/>
        <v>10</v>
      </c>
      <c r="G26" s="240"/>
      <c r="H26" s="142" t="s">
        <v>10</v>
      </c>
      <c r="I26" s="19"/>
      <c r="J26" s="37"/>
    </row>
    <row r="27" spans="1:16" ht="25.5" customHeight="1">
      <c r="A27" s="19" t="s">
        <v>45</v>
      </c>
      <c r="B27" s="20" t="s">
        <v>46</v>
      </c>
      <c r="C27" s="20"/>
      <c r="D27" s="61">
        <v>1</v>
      </c>
      <c r="E27" s="239">
        <v>10000</v>
      </c>
      <c r="F27" s="239">
        <f t="shared" si="0"/>
        <v>10</v>
      </c>
      <c r="G27" s="240"/>
      <c r="H27" s="142" t="s">
        <v>10</v>
      </c>
      <c r="I27" s="19"/>
      <c r="J27" s="37"/>
    </row>
    <row r="28" spans="1:16">
      <c r="A28" s="19" t="s">
        <v>47</v>
      </c>
      <c r="B28" s="20" t="s">
        <v>48</v>
      </c>
      <c r="C28" s="20"/>
      <c r="D28" s="61">
        <v>1</v>
      </c>
      <c r="E28" s="62">
        <v>5000</v>
      </c>
      <c r="F28" s="62">
        <f t="shared" si="0"/>
        <v>5</v>
      </c>
      <c r="G28" s="14"/>
      <c r="H28" s="13" t="s">
        <v>10</v>
      </c>
      <c r="I28" s="19"/>
      <c r="J28" s="37"/>
    </row>
    <row r="29" spans="1:16" ht="16.5" customHeight="1">
      <c r="A29" s="26" t="s">
        <v>49</v>
      </c>
      <c r="B29" s="192" t="s">
        <v>358</v>
      </c>
      <c r="C29" s="27" t="s">
        <v>240</v>
      </c>
      <c r="D29" s="63">
        <v>1</v>
      </c>
      <c r="E29" s="64">
        <v>150000</v>
      </c>
      <c r="F29" s="64">
        <f t="shared" si="0"/>
        <v>150</v>
      </c>
      <c r="G29" s="29"/>
      <c r="H29" s="28" t="s">
        <v>10</v>
      </c>
      <c r="I29" s="19"/>
      <c r="J29" s="37"/>
    </row>
    <row r="30" spans="1:16">
      <c r="A30" s="19" t="s">
        <v>50</v>
      </c>
      <c r="B30" s="19" t="s">
        <v>51</v>
      </c>
      <c r="C30" s="19"/>
      <c r="D30" s="61"/>
      <c r="E30" s="62"/>
      <c r="F30" s="62">
        <f>SUM(F11:F29)</f>
        <v>570.29999999999995</v>
      </c>
      <c r="G30" s="14"/>
      <c r="H30" s="13"/>
      <c r="I30" s="19"/>
      <c r="J30" s="37"/>
    </row>
    <row r="31" spans="1:16" ht="16.5" customHeight="1">
      <c r="A31" s="19"/>
      <c r="B31" s="13"/>
      <c r="C31" s="13"/>
      <c r="D31" s="61"/>
      <c r="E31" s="62"/>
      <c r="F31" s="62"/>
      <c r="G31" s="14"/>
      <c r="H31" s="13"/>
      <c r="I31" s="19"/>
      <c r="J31" s="37"/>
    </row>
    <row r="32" spans="1:16" ht="16.5" customHeight="1">
      <c r="A32" s="12">
        <v>3</v>
      </c>
      <c r="B32" s="7" t="s">
        <v>52</v>
      </c>
      <c r="C32" s="7"/>
      <c r="D32" s="61"/>
      <c r="E32" s="62"/>
      <c r="F32" s="62"/>
      <c r="G32" s="14"/>
      <c r="H32" s="13"/>
      <c r="I32" s="19"/>
      <c r="J32" s="37"/>
    </row>
    <row r="33" spans="1:10" s="10" customFormat="1">
      <c r="A33" s="19" t="s">
        <v>8</v>
      </c>
      <c r="B33" s="194" t="s">
        <v>319</v>
      </c>
      <c r="C33" s="20"/>
      <c r="D33" s="61">
        <v>1</v>
      </c>
      <c r="E33" s="62">
        <v>475000</v>
      </c>
      <c r="F33" s="62">
        <f t="shared" ref="F33:F38" si="1">0.001*D33*E33</f>
        <v>475</v>
      </c>
      <c r="G33"/>
      <c r="H33" s="138" t="s">
        <v>445</v>
      </c>
      <c r="I33" s="19"/>
      <c r="J33" s="37"/>
    </row>
    <row r="34" spans="1:10" s="10" customFormat="1" ht="20.25" customHeight="1">
      <c r="A34" s="19" t="s">
        <v>11</v>
      </c>
      <c r="B34" s="23" t="s">
        <v>161</v>
      </c>
      <c r="C34" s="20"/>
      <c r="D34" s="61">
        <v>1</v>
      </c>
      <c r="E34" s="62">
        <f>SUM(F33,F35:F38)*1000*0.2</f>
        <v>118000</v>
      </c>
      <c r="F34" s="62">
        <f t="shared" si="1"/>
        <v>118</v>
      </c>
      <c r="G34" s="14"/>
      <c r="H34" s="36" t="s">
        <v>162</v>
      </c>
      <c r="I34" s="19"/>
      <c r="J34" s="37"/>
    </row>
    <row r="35" spans="1:10" s="10" customFormat="1" ht="16.5" customHeight="1">
      <c r="A35" s="19" t="s">
        <v>13</v>
      </c>
      <c r="B35" s="20" t="s">
        <v>53</v>
      </c>
      <c r="C35" s="20"/>
      <c r="D35" s="191">
        <v>1</v>
      </c>
      <c r="E35" s="239">
        <f>'Interconnect Costs'!K10</f>
        <v>20000</v>
      </c>
      <c r="F35" s="239">
        <f t="shared" si="1"/>
        <v>20</v>
      </c>
      <c r="G35" s="240"/>
      <c r="H35" s="241" t="s">
        <v>274</v>
      </c>
      <c r="I35" s="19"/>
      <c r="J35" s="37"/>
    </row>
    <row r="36" spans="1:10" s="10" customFormat="1" ht="16.5" customHeight="1">
      <c r="A36" s="19" t="s">
        <v>16</v>
      </c>
      <c r="B36" s="194" t="s">
        <v>320</v>
      </c>
      <c r="C36" s="20"/>
      <c r="D36" s="191">
        <v>1</v>
      </c>
      <c r="E36" s="239">
        <v>50000</v>
      </c>
      <c r="F36" s="239">
        <f t="shared" si="1"/>
        <v>50</v>
      </c>
      <c r="G36" s="240"/>
      <c r="H36" s="142" t="s">
        <v>10</v>
      </c>
      <c r="I36" s="19"/>
      <c r="J36" s="37"/>
    </row>
    <row r="37" spans="1:10" s="10" customFormat="1">
      <c r="A37" s="19" t="s">
        <v>19</v>
      </c>
      <c r="B37" s="20" t="s">
        <v>55</v>
      </c>
      <c r="C37" s="20"/>
      <c r="D37" s="191">
        <v>1</v>
      </c>
      <c r="E37" s="239">
        <v>20000</v>
      </c>
      <c r="F37" s="239">
        <f t="shared" si="1"/>
        <v>20</v>
      </c>
      <c r="G37" s="240"/>
      <c r="H37" s="142" t="s">
        <v>10</v>
      </c>
      <c r="I37" s="19"/>
      <c r="J37" s="37"/>
    </row>
    <row r="38" spans="1:10" s="10" customFormat="1" ht="16.5" customHeight="1">
      <c r="A38" s="26" t="s">
        <v>21</v>
      </c>
      <c r="B38" s="192" t="s">
        <v>321</v>
      </c>
      <c r="C38" s="27"/>
      <c r="D38" s="184">
        <v>1</v>
      </c>
      <c r="E38" s="64">
        <v>25000</v>
      </c>
      <c r="F38" s="64">
        <f t="shared" si="1"/>
        <v>25</v>
      </c>
      <c r="G38" s="29"/>
      <c r="H38" s="238" t="s">
        <v>10</v>
      </c>
      <c r="I38" s="19"/>
      <c r="J38" s="37"/>
    </row>
    <row r="39" spans="1:10" s="10" customFormat="1" ht="16.5" customHeight="1">
      <c r="A39" s="19" t="s">
        <v>35</v>
      </c>
      <c r="B39" s="19" t="s">
        <v>56</v>
      </c>
      <c r="C39" s="19"/>
      <c r="D39" s="61"/>
      <c r="E39" s="62"/>
      <c r="F39" s="62">
        <f>SUM(F33:F38)</f>
        <v>708</v>
      </c>
      <c r="G39" s="14"/>
      <c r="H39" s="13"/>
      <c r="I39" s="19"/>
      <c r="J39" s="37"/>
    </row>
    <row r="40" spans="1:10" s="10" customFormat="1" ht="16.5" hidden="1" customHeight="1">
      <c r="A40" s="19"/>
      <c r="B40" s="13"/>
      <c r="C40" s="13"/>
      <c r="D40" s="61"/>
      <c r="E40" s="62"/>
      <c r="F40" s="62"/>
      <c r="G40" s="14"/>
      <c r="H40" s="13"/>
      <c r="I40" s="19"/>
      <c r="J40" s="37"/>
    </row>
    <row r="41" spans="1:10" s="10" customFormat="1" ht="16.5" hidden="1" customHeight="1">
      <c r="A41" s="12">
        <v>4</v>
      </c>
      <c r="B41" s="7" t="s">
        <v>132</v>
      </c>
      <c r="C41" s="7"/>
      <c r="D41" s="61"/>
      <c r="E41" s="62"/>
      <c r="F41" s="62"/>
      <c r="G41" s="14"/>
      <c r="H41" s="13"/>
      <c r="I41" s="19"/>
      <c r="J41" s="37"/>
    </row>
    <row r="42" spans="1:10" s="10" customFormat="1" ht="16.5" hidden="1" customHeight="1">
      <c r="A42" s="19" t="s">
        <v>8</v>
      </c>
      <c r="B42" s="20" t="s">
        <v>133</v>
      </c>
      <c r="C42" s="23" t="s">
        <v>23</v>
      </c>
      <c r="D42" s="61"/>
      <c r="E42" s="62">
        <v>40</v>
      </c>
      <c r="F42" s="62">
        <f>0.001*D42*E42</f>
        <v>0</v>
      </c>
      <c r="G42" s="14"/>
      <c r="H42" s="13" t="s">
        <v>10</v>
      </c>
      <c r="I42" s="19"/>
      <c r="J42" s="37"/>
    </row>
    <row r="43" spans="1:10" s="10" customFormat="1" ht="16.5" hidden="1" customHeight="1">
      <c r="A43" s="19" t="s">
        <v>11</v>
      </c>
      <c r="B43" s="20" t="s">
        <v>24</v>
      </c>
      <c r="C43" s="23" t="s">
        <v>27</v>
      </c>
      <c r="D43" s="61"/>
      <c r="E43" s="62">
        <v>15</v>
      </c>
      <c r="F43" s="62">
        <f>0.001*D43*E43</f>
        <v>0</v>
      </c>
      <c r="G43" s="14"/>
      <c r="H43" s="13" t="s">
        <v>10</v>
      </c>
      <c r="I43" s="19"/>
      <c r="J43" s="37"/>
    </row>
    <row r="44" spans="1:10" s="10" customFormat="1" ht="16.5" hidden="1" customHeight="1">
      <c r="A44" s="19" t="s">
        <v>13</v>
      </c>
      <c r="B44" s="20" t="s">
        <v>134</v>
      </c>
      <c r="C44" s="23" t="s">
        <v>27</v>
      </c>
      <c r="D44" s="61"/>
      <c r="E44" s="62">
        <v>450</v>
      </c>
      <c r="F44" s="62">
        <f>0.001*D44*E44</f>
        <v>0</v>
      </c>
      <c r="G44" s="14"/>
      <c r="H44" s="13" t="s">
        <v>10</v>
      </c>
      <c r="I44" s="19"/>
      <c r="J44" s="37"/>
    </row>
    <row r="45" spans="1:10" s="10" customFormat="1" hidden="1">
      <c r="A45" s="19" t="s">
        <v>16</v>
      </c>
      <c r="B45" s="20" t="s">
        <v>135</v>
      </c>
      <c r="C45" s="20"/>
      <c r="D45" s="61"/>
      <c r="E45" s="62"/>
      <c r="F45" s="62">
        <f>0.001*D45*E45</f>
        <v>0</v>
      </c>
      <c r="G45" s="14"/>
      <c r="H45" s="36"/>
      <c r="I45" s="19"/>
      <c r="J45" s="37"/>
    </row>
    <row r="46" spans="1:10" s="10" customFormat="1" ht="16.5" hidden="1" customHeight="1">
      <c r="A46" s="26" t="s">
        <v>19</v>
      </c>
      <c r="B46" s="27" t="s">
        <v>20</v>
      </c>
      <c r="C46" s="27"/>
      <c r="D46" s="63"/>
      <c r="E46" s="64"/>
      <c r="F46" s="64">
        <f>0.001*D46*E46</f>
        <v>0</v>
      </c>
      <c r="G46" s="29"/>
      <c r="H46" s="28"/>
      <c r="I46" s="19"/>
      <c r="J46" s="37"/>
    </row>
    <row r="47" spans="1:10" s="10" customFormat="1" ht="16.5" hidden="1" customHeight="1">
      <c r="A47" s="19" t="s">
        <v>21</v>
      </c>
      <c r="B47" s="19" t="s">
        <v>136</v>
      </c>
      <c r="C47" s="19"/>
      <c r="D47" s="61"/>
      <c r="E47" s="62"/>
      <c r="F47" s="62">
        <f>SUM(F42:F46)</f>
        <v>0</v>
      </c>
      <c r="G47" s="14"/>
      <c r="H47" s="13"/>
      <c r="I47" s="19"/>
      <c r="J47" s="37"/>
    </row>
    <row r="48" spans="1:10" s="10" customFormat="1" ht="16.5" hidden="1" customHeight="1">
      <c r="A48" s="19"/>
      <c r="B48" s="13"/>
      <c r="C48" s="13"/>
      <c r="D48" s="61"/>
      <c r="E48" s="62"/>
      <c r="F48" s="62"/>
      <c r="G48" s="14"/>
      <c r="H48" s="13"/>
      <c r="I48" s="19"/>
      <c r="J48" s="37"/>
    </row>
    <row r="49" spans="1:10" s="10" customFormat="1" ht="16.5" hidden="1" customHeight="1">
      <c r="A49" s="12">
        <v>5</v>
      </c>
      <c r="B49" s="7" t="s">
        <v>137</v>
      </c>
      <c r="C49" s="7"/>
      <c r="D49" s="61"/>
      <c r="E49" s="62"/>
      <c r="F49" s="62"/>
      <c r="G49" s="14"/>
      <c r="H49" s="13"/>
      <c r="I49" s="19"/>
      <c r="J49" s="37"/>
    </row>
    <row r="50" spans="1:10" s="10" customFormat="1" ht="16.5" hidden="1" customHeight="1">
      <c r="A50" s="39" t="s">
        <v>8</v>
      </c>
      <c r="B50" s="40" t="s">
        <v>138</v>
      </c>
      <c r="C50" s="40"/>
      <c r="D50" s="61"/>
      <c r="E50" s="62">
        <v>1000</v>
      </c>
      <c r="F50" s="62">
        <f t="shared" ref="F50:F55" si="2">0.001*D50*E50</f>
        <v>0</v>
      </c>
      <c r="G50" s="14"/>
      <c r="H50" s="13" t="s">
        <v>10</v>
      </c>
      <c r="I50" s="19"/>
      <c r="J50" s="37"/>
    </row>
    <row r="51" spans="1:10" s="10" customFormat="1" ht="16.5" hidden="1" customHeight="1">
      <c r="A51" s="39" t="s">
        <v>11</v>
      </c>
      <c r="B51" s="23" t="s">
        <v>17</v>
      </c>
      <c r="C51" s="23" t="s">
        <v>18</v>
      </c>
      <c r="D51" s="61"/>
      <c r="E51" s="62">
        <v>5</v>
      </c>
      <c r="F51" s="62">
        <f t="shared" si="2"/>
        <v>0</v>
      </c>
      <c r="G51" s="14"/>
      <c r="H51" s="13" t="s">
        <v>139</v>
      </c>
      <c r="I51" s="19"/>
      <c r="J51" s="37"/>
    </row>
    <row r="52" spans="1:10" s="10" customFormat="1" ht="16.5" hidden="1" customHeight="1">
      <c r="A52" s="19" t="s">
        <v>13</v>
      </c>
      <c r="B52" s="41" t="s">
        <v>140</v>
      </c>
      <c r="C52" s="40" t="s">
        <v>15</v>
      </c>
      <c r="D52" s="61"/>
      <c r="E52" s="62">
        <v>6201</v>
      </c>
      <c r="F52" s="62">
        <f t="shared" si="2"/>
        <v>0</v>
      </c>
      <c r="G52" s="14"/>
      <c r="H52" s="13" t="s">
        <v>10</v>
      </c>
      <c r="I52" s="19"/>
      <c r="J52" s="37"/>
    </row>
    <row r="53" spans="1:10" s="10" customFormat="1" ht="16.5" hidden="1" customHeight="1">
      <c r="A53" s="19" t="s">
        <v>16</v>
      </c>
      <c r="B53" s="41" t="s">
        <v>24</v>
      </c>
      <c r="C53" s="41" t="s">
        <v>27</v>
      </c>
      <c r="D53" s="67"/>
      <c r="E53" s="62">
        <v>15</v>
      </c>
      <c r="F53" s="62">
        <f t="shared" si="2"/>
        <v>0</v>
      </c>
      <c r="G53" s="14"/>
      <c r="H53" s="13" t="s">
        <v>139</v>
      </c>
      <c r="I53" s="19"/>
      <c r="J53" s="37"/>
    </row>
    <row r="54" spans="1:10" s="10" customFormat="1" ht="16.5" hidden="1" customHeight="1">
      <c r="A54" s="19" t="s">
        <v>19</v>
      </c>
      <c r="B54" s="41" t="s">
        <v>141</v>
      </c>
      <c r="C54" s="41" t="s">
        <v>27</v>
      </c>
      <c r="D54" s="67"/>
      <c r="E54" s="62">
        <v>40</v>
      </c>
      <c r="F54" s="62">
        <f t="shared" si="2"/>
        <v>0</v>
      </c>
      <c r="G54" s="14"/>
      <c r="H54" s="13" t="s">
        <v>139</v>
      </c>
      <c r="I54" s="19"/>
      <c r="J54" s="37"/>
    </row>
    <row r="55" spans="1:10" s="10" customFormat="1" ht="16.5" hidden="1" customHeight="1">
      <c r="A55" s="26" t="s">
        <v>21</v>
      </c>
      <c r="B55" s="27" t="s">
        <v>20</v>
      </c>
      <c r="C55" s="27"/>
      <c r="D55" s="63"/>
      <c r="E55" s="64"/>
      <c r="F55" s="64">
        <f t="shared" si="2"/>
        <v>0</v>
      </c>
      <c r="G55" s="29"/>
      <c r="H55" s="28"/>
      <c r="I55" s="19"/>
      <c r="J55" s="37"/>
    </row>
    <row r="56" spans="1:10" s="10" customFormat="1" ht="16.5" hidden="1" customHeight="1">
      <c r="A56" s="19" t="s">
        <v>35</v>
      </c>
      <c r="B56" s="21" t="s">
        <v>142</v>
      </c>
      <c r="C56" s="21"/>
      <c r="D56" s="61"/>
      <c r="E56" s="62"/>
      <c r="F56" s="62">
        <f>SUM(F50:F55)</f>
        <v>0</v>
      </c>
      <c r="G56" s="14"/>
      <c r="H56" s="13"/>
      <c r="I56" s="19"/>
      <c r="J56" s="37"/>
    </row>
    <row r="57" spans="1:10" s="10" customFormat="1" ht="16.5" hidden="1" customHeight="1">
      <c r="A57" s="19"/>
      <c r="B57" s="13"/>
      <c r="C57" s="13"/>
      <c r="D57" s="61"/>
      <c r="E57" s="62"/>
      <c r="F57" s="62"/>
      <c r="G57" s="14"/>
      <c r="H57" s="13"/>
      <c r="I57" s="19"/>
      <c r="J57" s="37"/>
    </row>
    <row r="58" spans="1:10" s="10" customFormat="1" hidden="1">
      <c r="A58" s="12">
        <v>5</v>
      </c>
      <c r="B58" s="7" t="s">
        <v>143</v>
      </c>
      <c r="C58" s="7"/>
      <c r="D58" s="61"/>
      <c r="E58" s="62"/>
      <c r="F58" s="62"/>
      <c r="G58" s="14"/>
      <c r="H58" s="13"/>
      <c r="I58" s="19"/>
      <c r="J58" s="37"/>
    </row>
    <row r="59" spans="1:10" s="10" customFormat="1" ht="16.5" hidden="1" customHeight="1">
      <c r="A59" s="39" t="s">
        <v>8</v>
      </c>
      <c r="B59" s="40" t="s">
        <v>138</v>
      </c>
      <c r="C59" s="40"/>
      <c r="D59" s="61"/>
      <c r="E59" s="62">
        <v>1000</v>
      </c>
      <c r="F59" s="62">
        <f t="shared" ref="F59:F64" si="3">0.001*D59*E59</f>
        <v>0</v>
      </c>
      <c r="G59" s="14"/>
      <c r="H59" s="13" t="s">
        <v>10</v>
      </c>
      <c r="I59" s="19"/>
      <c r="J59" s="37"/>
    </row>
    <row r="60" spans="1:10" s="10" customFormat="1" ht="16.5" hidden="1" customHeight="1">
      <c r="A60" s="39" t="s">
        <v>11</v>
      </c>
      <c r="B60" s="23" t="s">
        <v>17</v>
      </c>
      <c r="C60" s="23" t="s">
        <v>18</v>
      </c>
      <c r="D60" s="61"/>
      <c r="E60" s="62">
        <v>5</v>
      </c>
      <c r="F60" s="62">
        <f t="shared" si="3"/>
        <v>0</v>
      </c>
      <c r="G60" s="14"/>
      <c r="H60" s="13" t="s">
        <v>139</v>
      </c>
      <c r="I60" s="19"/>
      <c r="J60" s="37"/>
    </row>
    <row r="61" spans="1:10" s="10" customFormat="1" ht="16.5" hidden="1" customHeight="1">
      <c r="A61" s="19" t="s">
        <v>13</v>
      </c>
      <c r="B61" s="41" t="s">
        <v>140</v>
      </c>
      <c r="C61" s="40" t="s">
        <v>15</v>
      </c>
      <c r="D61" s="61"/>
      <c r="E61" s="62">
        <v>6201</v>
      </c>
      <c r="F61" s="62">
        <f t="shared" si="3"/>
        <v>0</v>
      </c>
      <c r="G61" s="14"/>
      <c r="H61" s="13" t="s">
        <v>10</v>
      </c>
      <c r="I61" s="19"/>
      <c r="J61" s="37"/>
    </row>
    <row r="62" spans="1:10" s="10" customFormat="1" ht="16.5" hidden="1" customHeight="1">
      <c r="A62" s="19" t="s">
        <v>16</v>
      </c>
      <c r="B62" s="41" t="s">
        <v>24</v>
      </c>
      <c r="C62" s="41" t="s">
        <v>27</v>
      </c>
      <c r="D62" s="67"/>
      <c r="E62" s="62">
        <v>15</v>
      </c>
      <c r="F62" s="62">
        <f t="shared" si="3"/>
        <v>0</v>
      </c>
      <c r="G62" s="14"/>
      <c r="H62" s="13" t="s">
        <v>139</v>
      </c>
      <c r="I62" s="19"/>
      <c r="J62" s="37"/>
    </row>
    <row r="63" spans="1:10" s="10" customFormat="1" hidden="1">
      <c r="A63" s="19" t="s">
        <v>19</v>
      </c>
      <c r="B63" s="41" t="s">
        <v>141</v>
      </c>
      <c r="C63" s="41" t="s">
        <v>27</v>
      </c>
      <c r="D63" s="67"/>
      <c r="E63" s="62">
        <v>40</v>
      </c>
      <c r="F63" s="62">
        <f t="shared" si="3"/>
        <v>0</v>
      </c>
      <c r="G63" s="14"/>
      <c r="H63" s="13" t="s">
        <v>139</v>
      </c>
      <c r="I63" s="19"/>
      <c r="J63" s="37"/>
    </row>
    <row r="64" spans="1:10" s="10" customFormat="1" ht="16.5" hidden="1" customHeight="1">
      <c r="A64" s="26" t="s">
        <v>21</v>
      </c>
      <c r="B64" s="27" t="s">
        <v>20</v>
      </c>
      <c r="C64" s="27"/>
      <c r="D64" s="63"/>
      <c r="E64" s="64"/>
      <c r="F64" s="64">
        <f t="shared" si="3"/>
        <v>0</v>
      </c>
      <c r="G64" s="29"/>
      <c r="H64" s="28"/>
      <c r="I64" s="19"/>
      <c r="J64" s="37"/>
    </row>
    <row r="65" spans="1:10" s="10" customFormat="1" ht="16.5" hidden="1" customHeight="1">
      <c r="A65" s="19" t="s">
        <v>35</v>
      </c>
      <c r="B65" s="21" t="s">
        <v>144</v>
      </c>
      <c r="C65" s="21"/>
      <c r="D65" s="61"/>
      <c r="E65" s="62"/>
      <c r="F65" s="62">
        <f>SUM(F59:F64)</f>
        <v>0</v>
      </c>
      <c r="G65" s="14"/>
      <c r="H65" s="13"/>
      <c r="I65" s="19"/>
      <c r="J65" s="37"/>
    </row>
    <row r="66" spans="1:10" s="10" customFormat="1" ht="16.5" hidden="1" customHeight="1">
      <c r="A66" s="19"/>
      <c r="B66" s="13"/>
      <c r="C66" s="13"/>
      <c r="D66" s="61"/>
      <c r="E66" s="62"/>
      <c r="F66" s="62"/>
      <c r="G66" s="14"/>
      <c r="H66" s="13"/>
      <c r="I66" s="19"/>
      <c r="J66" s="37"/>
    </row>
    <row r="67" spans="1:10" s="10" customFormat="1" ht="16.5" hidden="1" customHeight="1">
      <c r="A67" s="12">
        <v>7</v>
      </c>
      <c r="B67" s="7" t="s">
        <v>145</v>
      </c>
      <c r="C67" s="7"/>
      <c r="D67" s="61"/>
      <c r="E67" s="62"/>
      <c r="F67" s="62"/>
      <c r="G67" s="14"/>
      <c r="H67" s="13"/>
      <c r="I67" s="19"/>
      <c r="J67" s="37"/>
    </row>
    <row r="68" spans="1:10" s="10" customFormat="1" ht="16.5" hidden="1" customHeight="1">
      <c r="A68" s="19" t="s">
        <v>8</v>
      </c>
      <c r="B68" s="41" t="s">
        <v>140</v>
      </c>
      <c r="C68" s="41" t="s">
        <v>15</v>
      </c>
      <c r="D68" s="61"/>
      <c r="E68" s="62">
        <v>6200</v>
      </c>
      <c r="F68" s="62">
        <f>0.001*D68*E68</f>
        <v>0</v>
      </c>
      <c r="G68" s="14"/>
      <c r="H68" s="13" t="s">
        <v>10</v>
      </c>
      <c r="I68" s="19"/>
      <c r="J68" s="37"/>
    </row>
    <row r="69" spans="1:10" s="10" customFormat="1" ht="16.5" hidden="1" customHeight="1">
      <c r="A69" s="19" t="s">
        <v>11</v>
      </c>
      <c r="B69" s="40" t="s">
        <v>24</v>
      </c>
      <c r="C69" s="40" t="s">
        <v>27</v>
      </c>
      <c r="D69" s="67"/>
      <c r="E69" s="62">
        <v>20</v>
      </c>
      <c r="F69" s="62">
        <f>0.001*D69*E69</f>
        <v>0</v>
      </c>
      <c r="G69" s="14"/>
      <c r="H69" s="13" t="s">
        <v>146</v>
      </c>
      <c r="I69" s="19"/>
      <c r="J69" s="37"/>
    </row>
    <row r="70" spans="1:10" s="10" customFormat="1" hidden="1">
      <c r="A70" s="19" t="s">
        <v>13</v>
      </c>
      <c r="B70" s="20" t="s">
        <v>147</v>
      </c>
      <c r="C70" s="20" t="s">
        <v>27</v>
      </c>
      <c r="D70" s="67"/>
      <c r="E70" s="62">
        <v>40</v>
      </c>
      <c r="F70" s="62">
        <f>0.001*D70*E70</f>
        <v>0</v>
      </c>
      <c r="G70" s="14"/>
      <c r="H70" s="13" t="s">
        <v>146</v>
      </c>
      <c r="I70" s="19"/>
      <c r="J70" s="37"/>
    </row>
    <row r="71" spans="1:10" s="10" customFormat="1" ht="16.5" hidden="1" customHeight="1">
      <c r="A71" s="19" t="s">
        <v>16</v>
      </c>
      <c r="B71" s="20" t="s">
        <v>57</v>
      </c>
      <c r="C71" s="20" t="s">
        <v>27</v>
      </c>
      <c r="D71" s="61"/>
      <c r="E71" s="62">
        <v>450</v>
      </c>
      <c r="F71" s="62">
        <f>0.001*D71*E71</f>
        <v>0</v>
      </c>
      <c r="G71" s="14"/>
      <c r="H71" s="13" t="s">
        <v>10</v>
      </c>
      <c r="I71" s="19"/>
      <c r="J71" s="37"/>
    </row>
    <row r="72" spans="1:10" s="10" customFormat="1" ht="16.5" hidden="1" customHeight="1">
      <c r="A72" s="26" t="s">
        <v>16</v>
      </c>
      <c r="B72" s="27" t="s">
        <v>20</v>
      </c>
      <c r="C72" s="27"/>
      <c r="D72" s="63"/>
      <c r="E72" s="64"/>
      <c r="F72" s="64">
        <f>0.001*D72*E72</f>
        <v>0</v>
      </c>
      <c r="G72" s="29"/>
      <c r="H72" s="28"/>
      <c r="I72" s="19"/>
      <c r="J72" s="37"/>
    </row>
    <row r="73" spans="1:10" s="10" customFormat="1" ht="16.5" hidden="1" customHeight="1">
      <c r="A73" s="19" t="s">
        <v>19</v>
      </c>
      <c r="B73" s="39" t="s">
        <v>148</v>
      </c>
      <c r="C73" s="19"/>
      <c r="D73" s="61"/>
      <c r="E73" s="62"/>
      <c r="F73" s="62">
        <f>SUM(F68:F72)</f>
        <v>0</v>
      </c>
      <c r="G73" s="14"/>
      <c r="H73" s="13"/>
      <c r="I73" s="19"/>
      <c r="J73" s="37"/>
    </row>
    <row r="74" spans="1:10" s="10" customFormat="1" ht="16.5" customHeight="1">
      <c r="A74" s="19"/>
      <c r="B74" s="13"/>
      <c r="C74" s="13"/>
      <c r="D74" s="61"/>
      <c r="E74" s="62"/>
      <c r="F74" s="62"/>
      <c r="G74" s="14"/>
      <c r="H74" s="13"/>
      <c r="I74" s="19"/>
      <c r="J74" s="37"/>
    </row>
    <row r="75" spans="1:10" s="10" customFormat="1" ht="16.5" customHeight="1">
      <c r="A75" s="12">
        <v>8</v>
      </c>
      <c r="B75" s="7" t="s">
        <v>58</v>
      </c>
      <c r="C75" s="7"/>
      <c r="D75" s="61"/>
      <c r="E75" s="62"/>
      <c r="F75" s="62"/>
      <c r="G75" s="14"/>
      <c r="H75" s="13"/>
      <c r="I75" s="19"/>
      <c r="J75" s="37"/>
    </row>
    <row r="76" spans="1:10" s="10" customFormat="1" ht="16.5" customHeight="1">
      <c r="A76" s="19" t="s">
        <v>8</v>
      </c>
      <c r="B76" s="23" t="s">
        <v>163</v>
      </c>
      <c r="C76" s="20"/>
      <c r="D76" s="61">
        <v>1</v>
      </c>
      <c r="E76" s="239">
        <v>40000</v>
      </c>
      <c r="F76" s="239">
        <f t="shared" ref="F76:F81" si="4">0.001*D76*E76</f>
        <v>40</v>
      </c>
      <c r="G76" s="240"/>
      <c r="H76" s="142" t="s">
        <v>396</v>
      </c>
      <c r="I76" s="19"/>
      <c r="J76" s="37"/>
    </row>
    <row r="77" spans="1:10" s="10" customFormat="1" ht="16.5" customHeight="1">
      <c r="A77" s="19" t="s">
        <v>11</v>
      </c>
      <c r="B77" s="20" t="s">
        <v>59</v>
      </c>
      <c r="C77" s="20"/>
      <c r="D77" s="191">
        <v>0</v>
      </c>
      <c r="E77" s="239">
        <v>20000</v>
      </c>
      <c r="F77" s="239">
        <f t="shared" si="4"/>
        <v>0</v>
      </c>
      <c r="G77" s="240"/>
      <c r="H77" s="142" t="s">
        <v>245</v>
      </c>
      <c r="I77" s="19"/>
      <c r="J77" s="37"/>
    </row>
    <row r="78" spans="1:10" s="10" customFormat="1" ht="16.5" customHeight="1">
      <c r="A78" s="19" t="s">
        <v>13</v>
      </c>
      <c r="B78" s="20" t="s">
        <v>60</v>
      </c>
      <c r="C78" s="20"/>
      <c r="D78" s="61">
        <v>1</v>
      </c>
      <c r="E78" s="62">
        <v>5000</v>
      </c>
      <c r="F78" s="62">
        <f t="shared" si="4"/>
        <v>5</v>
      </c>
      <c r="G78" s="14"/>
      <c r="H78" s="13" t="s">
        <v>10</v>
      </c>
      <c r="I78" s="19"/>
      <c r="J78" s="37"/>
    </row>
    <row r="79" spans="1:10" s="10" customFormat="1" ht="16.5" customHeight="1">
      <c r="A79" s="39" t="s">
        <v>16</v>
      </c>
      <c r="B79" s="23" t="s">
        <v>61</v>
      </c>
      <c r="C79" s="23" t="s">
        <v>15</v>
      </c>
      <c r="D79" s="191">
        <v>1.5</v>
      </c>
      <c r="E79" s="239">
        <v>60000</v>
      </c>
      <c r="F79" s="239">
        <f t="shared" si="4"/>
        <v>90</v>
      </c>
      <c r="G79" s="240"/>
      <c r="H79" s="142" t="s">
        <v>400</v>
      </c>
      <c r="I79" s="19"/>
      <c r="J79" s="37"/>
    </row>
    <row r="80" spans="1:10" s="10" customFormat="1" ht="16.5" customHeight="1">
      <c r="A80" s="39" t="s">
        <v>19</v>
      </c>
      <c r="B80" s="20" t="s">
        <v>62</v>
      </c>
      <c r="C80" s="20"/>
      <c r="D80" s="61">
        <v>1</v>
      </c>
      <c r="E80" s="62">
        <v>25000</v>
      </c>
      <c r="F80" s="62">
        <f t="shared" si="4"/>
        <v>25</v>
      </c>
      <c r="G80" s="14"/>
      <c r="H80" s="13" t="s">
        <v>10</v>
      </c>
      <c r="I80" s="19"/>
      <c r="J80" s="37"/>
    </row>
    <row r="81" spans="1:10" s="10" customFormat="1" ht="16.5" customHeight="1">
      <c r="A81" s="42" t="s">
        <v>21</v>
      </c>
      <c r="B81" s="27" t="s">
        <v>149</v>
      </c>
      <c r="C81" s="27"/>
      <c r="D81" s="63">
        <v>1</v>
      </c>
      <c r="E81" s="64">
        <v>7500</v>
      </c>
      <c r="F81" s="64">
        <f t="shared" si="4"/>
        <v>7.5</v>
      </c>
      <c r="G81" s="29"/>
      <c r="H81" s="28" t="s">
        <v>10</v>
      </c>
      <c r="I81" s="19"/>
      <c r="J81" s="37"/>
    </row>
    <row r="82" spans="1:10" s="10" customFormat="1" ht="16.5" customHeight="1">
      <c r="A82" s="39" t="s">
        <v>35</v>
      </c>
      <c r="B82" s="39" t="s">
        <v>63</v>
      </c>
      <c r="C82" s="13"/>
      <c r="D82" s="61"/>
      <c r="E82" s="62"/>
      <c r="F82" s="62">
        <f>SUM(F76:F81)</f>
        <v>167.5</v>
      </c>
      <c r="G82" s="14"/>
      <c r="H82" s="13"/>
      <c r="I82" s="19"/>
      <c r="J82" s="37"/>
    </row>
    <row r="83" spans="1:10" s="10" customFormat="1" ht="16.5" customHeight="1">
      <c r="A83" s="19"/>
      <c r="B83" s="13"/>
      <c r="C83" s="13"/>
      <c r="D83" s="61"/>
      <c r="E83" s="62"/>
      <c r="F83" s="62"/>
      <c r="G83" s="14"/>
      <c r="H83" s="13"/>
      <c r="I83" s="19"/>
      <c r="J83" s="37"/>
    </row>
    <row r="84" spans="1:10" s="10" customFormat="1" ht="16.5" customHeight="1">
      <c r="A84" s="12">
        <v>9</v>
      </c>
      <c r="B84" s="7" t="s">
        <v>247</v>
      </c>
      <c r="C84" s="7"/>
      <c r="D84" s="61"/>
      <c r="E84" s="62"/>
      <c r="F84" s="62"/>
      <c r="G84" s="14"/>
      <c r="H84" s="13"/>
      <c r="I84" s="19"/>
      <c r="J84" s="37"/>
    </row>
    <row r="85" spans="1:10" s="10" customFormat="1" ht="16.5" customHeight="1">
      <c r="A85" s="19" t="s">
        <v>8</v>
      </c>
      <c r="B85" s="172" t="s">
        <v>248</v>
      </c>
      <c r="C85" s="41" t="s">
        <v>64</v>
      </c>
      <c r="D85" s="191">
        <v>2</v>
      </c>
      <c r="E85" s="239">
        <v>50000</v>
      </c>
      <c r="F85" s="239">
        <f t="shared" ref="F85:F90" si="5">0.001*D85*E85</f>
        <v>100</v>
      </c>
      <c r="G85" s="240"/>
      <c r="H85" s="142" t="s">
        <v>10</v>
      </c>
      <c r="I85" s="19"/>
      <c r="J85" s="37"/>
    </row>
    <row r="86" spans="1:10" s="10" customFormat="1" ht="16.5" customHeight="1">
      <c r="A86" s="19" t="s">
        <v>11</v>
      </c>
      <c r="B86" s="41" t="s">
        <v>65</v>
      </c>
      <c r="C86" s="41" t="s">
        <v>64</v>
      </c>
      <c r="D86" s="191">
        <v>2</v>
      </c>
      <c r="E86" s="239">
        <v>75000</v>
      </c>
      <c r="F86" s="239">
        <f t="shared" si="5"/>
        <v>150</v>
      </c>
      <c r="G86" s="240"/>
      <c r="H86" s="142" t="s">
        <v>287</v>
      </c>
      <c r="I86" s="19"/>
      <c r="J86" s="37"/>
    </row>
    <row r="87" spans="1:10" s="10" customFormat="1" ht="16.5" customHeight="1">
      <c r="A87" s="19" t="s">
        <v>13</v>
      </c>
      <c r="B87" s="172" t="s">
        <v>249</v>
      </c>
      <c r="C87" s="41"/>
      <c r="D87" s="191">
        <v>1</v>
      </c>
      <c r="E87" s="239">
        <v>50000</v>
      </c>
      <c r="F87" s="239">
        <f t="shared" si="5"/>
        <v>50</v>
      </c>
      <c r="G87" s="240"/>
      <c r="H87" s="142" t="s">
        <v>10</v>
      </c>
      <c r="I87" s="19"/>
      <c r="J87" s="37"/>
    </row>
    <row r="88" spans="1:10" s="10" customFormat="1">
      <c r="A88" s="19" t="s">
        <v>16</v>
      </c>
      <c r="B88" s="172" t="s">
        <v>250</v>
      </c>
      <c r="C88" s="41"/>
      <c r="D88" s="191">
        <v>1</v>
      </c>
      <c r="E88" s="239">
        <v>25000</v>
      </c>
      <c r="F88" s="239">
        <f t="shared" si="5"/>
        <v>25</v>
      </c>
      <c r="G88" s="240"/>
      <c r="H88" s="142" t="s">
        <v>10</v>
      </c>
      <c r="I88" s="19"/>
      <c r="J88" s="37"/>
    </row>
    <row r="89" spans="1:10" s="10" customFormat="1" ht="16.5" customHeight="1">
      <c r="A89" s="19" t="s">
        <v>19</v>
      </c>
      <c r="B89" s="41" t="s">
        <v>66</v>
      </c>
      <c r="C89" s="41"/>
      <c r="D89" s="191">
        <v>1</v>
      </c>
      <c r="E89" s="239">
        <v>25000</v>
      </c>
      <c r="F89" s="239">
        <f t="shared" si="5"/>
        <v>25</v>
      </c>
      <c r="G89" s="240"/>
      <c r="H89" s="142" t="s">
        <v>10</v>
      </c>
      <c r="I89" s="19"/>
      <c r="J89" s="37"/>
    </row>
    <row r="90" spans="1:10" s="10" customFormat="1" ht="16.5" customHeight="1">
      <c r="A90" s="26" t="s">
        <v>21</v>
      </c>
      <c r="B90" s="192" t="s">
        <v>251</v>
      </c>
      <c r="C90" s="27"/>
      <c r="D90" s="184">
        <v>1</v>
      </c>
      <c r="E90" s="242">
        <v>50000</v>
      </c>
      <c r="F90" s="242">
        <f t="shared" si="5"/>
        <v>50</v>
      </c>
      <c r="G90" s="243"/>
      <c r="H90" s="238" t="s">
        <v>273</v>
      </c>
      <c r="I90" s="19"/>
      <c r="J90" s="37"/>
    </row>
    <row r="91" spans="1:10" s="10" customFormat="1" ht="16.5" customHeight="1">
      <c r="A91" s="19" t="s">
        <v>35</v>
      </c>
      <c r="B91" s="244" t="s">
        <v>322</v>
      </c>
      <c r="C91" s="21"/>
      <c r="D91" s="61"/>
      <c r="E91" s="62"/>
      <c r="F91" s="62">
        <f>SUM(F85:F90)</f>
        <v>400</v>
      </c>
      <c r="G91" s="14"/>
      <c r="H91" s="13"/>
      <c r="I91" s="19"/>
      <c r="J91" s="37"/>
    </row>
    <row r="92" spans="1:10" s="10" customFormat="1" ht="16.5" customHeight="1">
      <c r="A92" s="19"/>
      <c r="B92" s="13"/>
      <c r="C92" s="13"/>
      <c r="D92" s="61"/>
      <c r="E92" s="62"/>
      <c r="F92" s="62"/>
      <c r="G92" s="14"/>
      <c r="H92" s="13"/>
      <c r="I92" s="19"/>
      <c r="J92" s="37"/>
    </row>
    <row r="93" spans="1:10" s="10" customFormat="1" ht="16.5" customHeight="1">
      <c r="A93" s="12">
        <v>10</v>
      </c>
      <c r="B93" s="7" t="s">
        <v>67</v>
      </c>
      <c r="C93" s="7"/>
      <c r="D93" s="61"/>
      <c r="E93" s="62"/>
      <c r="F93" s="62"/>
      <c r="G93" s="14"/>
      <c r="H93" s="13"/>
      <c r="I93" s="19"/>
      <c r="J93" s="37"/>
    </row>
    <row r="94" spans="1:10" s="10" customFormat="1" ht="16.5" customHeight="1">
      <c r="A94" s="19" t="s">
        <v>8</v>
      </c>
      <c r="B94" s="41" t="s">
        <v>68</v>
      </c>
      <c r="C94" s="41"/>
      <c r="D94" s="69">
        <v>1</v>
      </c>
      <c r="E94" s="66">
        <v>5000</v>
      </c>
      <c r="F94" s="62">
        <f>0.001*D94*E94</f>
        <v>5</v>
      </c>
      <c r="G94" s="14"/>
      <c r="H94" s="13" t="s">
        <v>10</v>
      </c>
      <c r="I94" s="19"/>
      <c r="J94" s="37"/>
    </row>
    <row r="95" spans="1:10" s="10" customFormat="1">
      <c r="A95" s="19" t="s">
        <v>11</v>
      </c>
      <c r="B95" s="41" t="s">
        <v>69</v>
      </c>
      <c r="C95" s="41"/>
      <c r="D95" s="246">
        <v>1</v>
      </c>
      <c r="E95" s="247">
        <v>20000</v>
      </c>
      <c r="F95" s="239">
        <f>0.001*D95*E95</f>
        <v>20</v>
      </c>
      <c r="G95" s="240"/>
      <c r="H95" s="176" t="s">
        <v>290</v>
      </c>
      <c r="I95" s="19"/>
      <c r="J95" s="37"/>
    </row>
    <row r="96" spans="1:10" s="10" customFormat="1" ht="16.5" customHeight="1">
      <c r="A96" s="19" t="s">
        <v>13</v>
      </c>
      <c r="B96" s="41" t="s">
        <v>70</v>
      </c>
      <c r="C96" s="41"/>
      <c r="D96" s="69">
        <v>1</v>
      </c>
      <c r="E96" s="66">
        <v>5000</v>
      </c>
      <c r="F96" s="62">
        <f>0.001*D96*E96</f>
        <v>5</v>
      </c>
      <c r="G96" s="14"/>
      <c r="H96" s="13" t="s">
        <v>10</v>
      </c>
      <c r="I96" s="19"/>
      <c r="J96" s="37"/>
    </row>
    <row r="97" spans="1:10" s="10" customFormat="1" ht="15.75" customHeight="1">
      <c r="A97" s="19" t="s">
        <v>16</v>
      </c>
      <c r="B97" s="41" t="s">
        <v>71</v>
      </c>
      <c r="C97" s="41"/>
      <c r="D97" s="69">
        <v>1</v>
      </c>
      <c r="E97" s="66">
        <v>10000</v>
      </c>
      <c r="F97" s="62">
        <f>0.001*D97*E97</f>
        <v>10</v>
      </c>
      <c r="G97" s="14"/>
      <c r="H97" s="13" t="s">
        <v>10</v>
      </c>
      <c r="I97" s="19"/>
      <c r="J97" s="37"/>
    </row>
    <row r="98" spans="1:10" s="10" customFormat="1" ht="16.5" customHeight="1">
      <c r="A98" s="26" t="s">
        <v>19</v>
      </c>
      <c r="B98" s="27" t="s">
        <v>20</v>
      </c>
      <c r="C98" s="27"/>
      <c r="D98" s="63"/>
      <c r="E98" s="64"/>
      <c r="F98" s="64">
        <f>0.001*D98*E98</f>
        <v>0</v>
      </c>
      <c r="G98" s="29"/>
      <c r="H98" s="28"/>
      <c r="I98" s="19"/>
      <c r="J98" s="37"/>
    </row>
    <row r="99" spans="1:10" s="10" customFormat="1" ht="16.5" customHeight="1">
      <c r="A99" s="19" t="s">
        <v>21</v>
      </c>
      <c r="B99" s="39" t="s">
        <v>72</v>
      </c>
      <c r="C99" s="39"/>
      <c r="D99" s="61"/>
      <c r="E99" s="62"/>
      <c r="F99" s="62">
        <f>SUM(F94:F98)</f>
        <v>40</v>
      </c>
      <c r="G99" s="14"/>
      <c r="H99" s="13"/>
      <c r="I99" s="19"/>
      <c r="J99" s="37"/>
    </row>
    <row r="100" spans="1:10" s="10" customFormat="1" ht="16.5" customHeight="1">
      <c r="A100" s="13"/>
      <c r="B100" s="13"/>
      <c r="C100" s="13"/>
      <c r="D100" s="61"/>
      <c r="E100" s="62"/>
      <c r="F100" s="62"/>
      <c r="G100" s="14"/>
      <c r="H100" s="13"/>
      <c r="I100" s="19"/>
      <c r="J100" s="37"/>
    </row>
    <row r="101" spans="1:10" s="10" customFormat="1" ht="16.5" customHeight="1">
      <c r="A101" s="12">
        <v>11</v>
      </c>
      <c r="B101" s="7" t="s">
        <v>73</v>
      </c>
      <c r="C101" s="7"/>
      <c r="D101" s="61"/>
      <c r="E101" s="62"/>
      <c r="F101" s="62"/>
      <c r="G101" s="14"/>
      <c r="H101" s="13"/>
      <c r="I101" s="19"/>
      <c r="J101" s="37"/>
    </row>
    <row r="102" spans="1:10" s="10" customFormat="1" ht="16.5" customHeight="1">
      <c r="A102" s="19" t="s">
        <v>8</v>
      </c>
      <c r="B102" s="20" t="s">
        <v>14</v>
      </c>
      <c r="C102" s="20" t="s">
        <v>15</v>
      </c>
      <c r="D102" s="191">
        <v>1</v>
      </c>
      <c r="E102" s="239">
        <v>6200</v>
      </c>
      <c r="F102" s="239">
        <f>0.001*D102*E102</f>
        <v>6.2</v>
      </c>
      <c r="G102" s="240"/>
      <c r="H102" s="142" t="s">
        <v>10</v>
      </c>
      <c r="I102" s="19"/>
      <c r="J102" s="37"/>
    </row>
    <row r="103" spans="1:10" s="10" customFormat="1" ht="16.5" customHeight="1">
      <c r="A103" s="19" t="s">
        <v>11</v>
      </c>
      <c r="B103" s="20" t="s">
        <v>74</v>
      </c>
      <c r="C103" s="20"/>
      <c r="D103" s="191">
        <v>1</v>
      </c>
      <c r="E103" s="239">
        <f>'Interconnect Costs'!K6</f>
        <v>52000</v>
      </c>
      <c r="F103" s="239">
        <f>0.001*D103*E103</f>
        <v>52</v>
      </c>
      <c r="G103" s="240"/>
      <c r="H103" s="142" t="s">
        <v>274</v>
      </c>
      <c r="I103" s="19"/>
      <c r="J103" s="37"/>
    </row>
    <row r="104" spans="1:10" s="10" customFormat="1" ht="16.5" customHeight="1">
      <c r="A104" s="19" t="s">
        <v>13</v>
      </c>
      <c r="B104" s="20" t="s">
        <v>75</v>
      </c>
      <c r="C104" s="20"/>
      <c r="D104" s="191">
        <v>1</v>
      </c>
      <c r="E104" s="239">
        <v>10000</v>
      </c>
      <c r="F104" s="239">
        <f>0.001*D104*E104</f>
        <v>10</v>
      </c>
      <c r="G104" s="240"/>
      <c r="H104" s="142" t="s">
        <v>10</v>
      </c>
      <c r="I104" s="19"/>
      <c r="J104" s="37"/>
    </row>
    <row r="105" spans="1:10" s="10" customFormat="1" ht="32.25" customHeight="1">
      <c r="A105" s="19" t="s">
        <v>13</v>
      </c>
      <c r="B105" s="20" t="s">
        <v>76</v>
      </c>
      <c r="C105" s="20"/>
      <c r="D105" s="191">
        <v>1</v>
      </c>
      <c r="E105" s="239">
        <f>'Interconnect Costs'!K7+'Interconnect Costs'!K8+'Interconnect Costs'!K9</f>
        <v>50000</v>
      </c>
      <c r="F105" s="239">
        <f>0.001*D105*E105</f>
        <v>50</v>
      </c>
      <c r="G105" s="240"/>
      <c r="H105" s="142" t="s">
        <v>267</v>
      </c>
      <c r="I105" s="19"/>
      <c r="J105" s="37"/>
    </row>
    <row r="106" spans="1:10" s="10" customFormat="1" ht="16.5" customHeight="1">
      <c r="A106" s="26" t="s">
        <v>16</v>
      </c>
      <c r="B106" s="192" t="s">
        <v>248</v>
      </c>
      <c r="C106" s="27"/>
      <c r="D106" s="184">
        <v>1</v>
      </c>
      <c r="E106" s="242">
        <v>20000</v>
      </c>
      <c r="F106" s="242">
        <f>0.001*D106*E106</f>
        <v>20</v>
      </c>
      <c r="G106" s="243"/>
      <c r="H106" s="238" t="s">
        <v>10</v>
      </c>
      <c r="I106" s="19"/>
      <c r="J106" s="37"/>
    </row>
    <row r="107" spans="1:10" s="10" customFormat="1">
      <c r="A107" s="19" t="s">
        <v>21</v>
      </c>
      <c r="B107" s="19" t="s">
        <v>77</v>
      </c>
      <c r="C107" s="19"/>
      <c r="D107" s="191"/>
      <c r="E107" s="239"/>
      <c r="F107" s="239">
        <f>SUM(F102:F106)</f>
        <v>138.19999999999999</v>
      </c>
      <c r="G107" s="240"/>
      <c r="H107" s="142"/>
      <c r="I107" s="19"/>
      <c r="J107" s="37"/>
    </row>
    <row r="108" spans="1:10" ht="16.5" customHeight="1">
      <c r="A108" s="13"/>
      <c r="B108" s="13"/>
      <c r="C108" s="13"/>
      <c r="D108" s="61"/>
      <c r="E108" s="62"/>
      <c r="F108" s="62"/>
      <c r="G108" s="14"/>
      <c r="H108" s="13"/>
      <c r="I108" s="19"/>
      <c r="J108" s="37"/>
    </row>
    <row r="109" spans="1:10" ht="16.5" customHeight="1">
      <c r="A109" s="12">
        <v>12</v>
      </c>
      <c r="B109" s="7" t="s">
        <v>78</v>
      </c>
      <c r="C109" s="7"/>
      <c r="D109" s="61"/>
      <c r="E109" s="62"/>
      <c r="F109" s="62"/>
      <c r="G109" s="14"/>
      <c r="H109" s="13"/>
      <c r="I109" s="19"/>
      <c r="J109" s="37"/>
    </row>
    <row r="110" spans="1:10" ht="16.5" customHeight="1">
      <c r="A110" s="19" t="s">
        <v>8</v>
      </c>
      <c r="B110" s="20" t="s">
        <v>79</v>
      </c>
      <c r="C110" s="20"/>
      <c r="D110" s="61">
        <v>1</v>
      </c>
      <c r="E110" s="62">
        <f>F130*1000*0.08</f>
        <v>171503.99999999997</v>
      </c>
      <c r="F110" s="62">
        <f t="shared" ref="F110:F115" si="6">0.001*D110*E110</f>
        <v>171.50399999999996</v>
      </c>
      <c r="G110" s="14"/>
      <c r="H110" s="36" t="s">
        <v>164</v>
      </c>
      <c r="I110" s="19"/>
      <c r="J110" s="37"/>
    </row>
    <row r="111" spans="1:10">
      <c r="A111" s="19" t="s">
        <v>11</v>
      </c>
      <c r="B111" s="20" t="s">
        <v>80</v>
      </c>
      <c r="C111" s="20"/>
      <c r="D111" s="61">
        <v>1</v>
      </c>
      <c r="E111" s="62">
        <v>25000</v>
      </c>
      <c r="F111" s="62">
        <f t="shared" si="6"/>
        <v>25</v>
      </c>
      <c r="G111" s="14"/>
      <c r="H111" s="13" t="s">
        <v>10</v>
      </c>
      <c r="I111" s="19"/>
      <c r="J111" s="37"/>
    </row>
    <row r="112" spans="1:10" ht="16.5" customHeight="1">
      <c r="A112" s="19" t="s">
        <v>13</v>
      </c>
      <c r="B112" s="20" t="s">
        <v>81</v>
      </c>
      <c r="C112" s="20"/>
      <c r="D112" s="61">
        <v>1</v>
      </c>
      <c r="E112" s="62">
        <v>20000</v>
      </c>
      <c r="F112" s="62">
        <f t="shared" si="6"/>
        <v>20</v>
      </c>
      <c r="G112" s="14"/>
      <c r="H112" s="13" t="s">
        <v>82</v>
      </c>
      <c r="I112" s="19"/>
      <c r="J112" s="37"/>
    </row>
    <row r="113" spans="1:10" ht="16.5" customHeight="1">
      <c r="A113" s="19" t="s">
        <v>16</v>
      </c>
      <c r="B113" s="20" t="s">
        <v>83</v>
      </c>
      <c r="C113" s="20"/>
      <c r="D113" s="61">
        <v>1</v>
      </c>
      <c r="E113" s="62">
        <v>35000</v>
      </c>
      <c r="F113" s="62">
        <f t="shared" si="6"/>
        <v>35</v>
      </c>
      <c r="G113" s="14"/>
      <c r="H113" s="13" t="s">
        <v>91</v>
      </c>
      <c r="I113" s="19"/>
      <c r="J113" s="37"/>
    </row>
    <row r="114" spans="1:10">
      <c r="A114" s="19" t="s">
        <v>19</v>
      </c>
      <c r="B114" s="20" t="s">
        <v>84</v>
      </c>
      <c r="C114" s="20"/>
      <c r="D114" s="61">
        <v>1</v>
      </c>
      <c r="E114" s="62">
        <v>100000</v>
      </c>
      <c r="F114" s="62">
        <f t="shared" si="6"/>
        <v>100</v>
      </c>
      <c r="G114" s="14"/>
      <c r="H114" s="13" t="s">
        <v>10</v>
      </c>
      <c r="I114" s="19"/>
      <c r="J114" s="37"/>
    </row>
    <row r="115" spans="1:10" ht="16.5" customHeight="1">
      <c r="A115" s="26" t="s">
        <v>21</v>
      </c>
      <c r="B115" s="27" t="s">
        <v>20</v>
      </c>
      <c r="C115" s="27"/>
      <c r="D115" s="63"/>
      <c r="E115" s="64"/>
      <c r="F115" s="64">
        <f t="shared" si="6"/>
        <v>0</v>
      </c>
      <c r="G115" s="29"/>
      <c r="H115" s="28"/>
      <c r="I115" s="19"/>
      <c r="J115" s="37"/>
    </row>
    <row r="116" spans="1:10" ht="16.5" customHeight="1">
      <c r="A116" s="19" t="s">
        <v>35</v>
      </c>
      <c r="B116" s="19" t="s">
        <v>85</v>
      </c>
      <c r="C116" s="19"/>
      <c r="D116" s="61"/>
      <c r="E116" s="62"/>
      <c r="F116" s="62">
        <f>SUM(F110:F115)</f>
        <v>351.50399999999996</v>
      </c>
      <c r="G116" s="14"/>
      <c r="H116" s="13"/>
      <c r="I116" s="19"/>
      <c r="J116" s="37"/>
    </row>
    <row r="117" spans="1:10" ht="16.5" customHeight="1">
      <c r="A117" s="13"/>
      <c r="B117" s="13"/>
      <c r="C117" s="13"/>
      <c r="D117" s="61"/>
      <c r="E117" s="62"/>
      <c r="F117" s="62"/>
      <c r="G117" s="14"/>
      <c r="H117" s="13"/>
      <c r="I117" s="19"/>
      <c r="J117" s="37"/>
    </row>
    <row r="118" spans="1:10" ht="16.5" customHeight="1">
      <c r="A118" s="12"/>
      <c r="B118" s="7" t="s">
        <v>86</v>
      </c>
      <c r="C118" s="7"/>
      <c r="D118" s="61"/>
      <c r="E118" s="62"/>
      <c r="F118" s="62"/>
      <c r="G118" s="14"/>
      <c r="H118" s="13"/>
      <c r="I118" s="19"/>
      <c r="J118" s="37"/>
    </row>
    <row r="119" spans="1:10" ht="16.5" customHeight="1">
      <c r="A119" s="12">
        <f>A$2</f>
        <v>1</v>
      </c>
      <c r="B119" s="13" t="str">
        <f>B$2</f>
        <v>General</v>
      </c>
      <c r="C119" s="13"/>
      <c r="D119" s="61"/>
      <c r="E119" s="62"/>
      <c r="F119" s="62">
        <f>F$8</f>
        <v>119.8</v>
      </c>
      <c r="G119" s="14"/>
      <c r="H119" s="13"/>
      <c r="I119" s="19"/>
      <c r="J119" s="37"/>
    </row>
    <row r="120" spans="1:10" ht="16.5" customHeight="1">
      <c r="A120" s="12">
        <f>A$10</f>
        <v>2</v>
      </c>
      <c r="B120" s="13" t="str">
        <f>B$10</f>
        <v>Powerhouse/Intake</v>
      </c>
      <c r="C120" s="13"/>
      <c r="D120" s="61"/>
      <c r="E120" s="62"/>
      <c r="F120" s="62">
        <f>F$30</f>
        <v>570.29999999999995</v>
      </c>
      <c r="G120" s="14"/>
      <c r="H120" s="13"/>
      <c r="I120" s="19"/>
      <c r="J120" s="37"/>
    </row>
    <row r="121" spans="1:10" ht="16.5" customHeight="1">
      <c r="A121" s="12">
        <f>A$32</f>
        <v>3</v>
      </c>
      <c r="B121" s="13" t="str">
        <f>B$32</f>
        <v>Equipment</v>
      </c>
      <c r="C121" s="13"/>
      <c r="D121" s="61"/>
      <c r="E121" s="62"/>
      <c r="F121" s="62">
        <f>F$39</f>
        <v>708</v>
      </c>
      <c r="G121" s="14"/>
      <c r="H121" s="13"/>
      <c r="I121" s="19"/>
      <c r="J121" s="37"/>
    </row>
    <row r="122" spans="1:10" ht="16.5" hidden="1" customHeight="1">
      <c r="A122" s="43">
        <f>A$41</f>
        <v>4</v>
      </c>
      <c r="B122" s="11" t="str">
        <f>B$41</f>
        <v xml:space="preserve">Spillway </v>
      </c>
      <c r="E122" s="66"/>
      <c r="F122" s="66">
        <f>F$47</f>
        <v>0</v>
      </c>
      <c r="G122" s="44"/>
      <c r="I122" s="19"/>
      <c r="J122" s="37"/>
    </row>
    <row r="123" spans="1:10" ht="16.5" hidden="1" customHeight="1">
      <c r="A123" s="43">
        <f>A$49</f>
        <v>5</v>
      </c>
      <c r="B123" s="11" t="str">
        <f>B$49</f>
        <v>East (left) Dike</v>
      </c>
      <c r="E123" s="66"/>
      <c r="F123" s="66">
        <f>F$56</f>
        <v>0</v>
      </c>
      <c r="G123" s="33"/>
      <c r="I123" s="19"/>
      <c r="J123" s="37"/>
    </row>
    <row r="124" spans="1:10" ht="16.5" hidden="1" customHeight="1">
      <c r="A124" s="43">
        <f>A$58</f>
        <v>5</v>
      </c>
      <c r="B124" s="11" t="str">
        <f>B$58</f>
        <v>West (right) Dike</v>
      </c>
      <c r="E124" s="66"/>
      <c r="F124" s="66">
        <f>F$65</f>
        <v>0</v>
      </c>
      <c r="G124" s="33"/>
      <c r="I124" s="19"/>
      <c r="J124" s="37"/>
    </row>
    <row r="125" spans="1:10" ht="16.5" hidden="1" customHeight="1">
      <c r="A125" s="43">
        <f>A$67</f>
        <v>7</v>
      </c>
      <c r="B125" s="11" t="str">
        <f>B$67</f>
        <v>Canal</v>
      </c>
      <c r="E125" s="66"/>
      <c r="F125" s="66">
        <f>F$73</f>
        <v>0</v>
      </c>
      <c r="G125" s="33"/>
      <c r="I125" s="19"/>
      <c r="J125" s="37"/>
    </row>
    <row r="126" spans="1:10" ht="16.5" customHeight="1">
      <c r="A126" s="43">
        <f>A$75</f>
        <v>8</v>
      </c>
      <c r="B126" s="11" t="str">
        <f>B$75</f>
        <v>PM&amp;E Measures</v>
      </c>
      <c r="E126" s="66"/>
      <c r="F126" s="66">
        <f>F$82</f>
        <v>167.5</v>
      </c>
      <c r="G126" s="33"/>
      <c r="I126" s="19"/>
      <c r="J126" s="37"/>
    </row>
    <row r="127" spans="1:10" ht="16.5" customHeight="1">
      <c r="A127" s="43">
        <f>A$84</f>
        <v>9</v>
      </c>
      <c r="B127" s="176" t="s">
        <v>247</v>
      </c>
      <c r="E127" s="66"/>
      <c r="F127" s="66">
        <f>F$91</f>
        <v>400</v>
      </c>
      <c r="G127" s="33"/>
      <c r="I127" s="19"/>
      <c r="J127" s="37"/>
    </row>
    <row r="128" spans="1:10" ht="16.5" customHeight="1">
      <c r="A128" s="43">
        <f>A$93</f>
        <v>10</v>
      </c>
      <c r="B128" s="11" t="str">
        <f>B$93</f>
        <v>Land &amp; Land Rights</v>
      </c>
      <c r="E128" s="66"/>
      <c r="F128" s="66">
        <f>F$99</f>
        <v>40</v>
      </c>
      <c r="G128" s="33"/>
      <c r="I128" s="19"/>
      <c r="J128" s="37"/>
    </row>
    <row r="129" spans="1:10" ht="16.5" customHeight="1">
      <c r="A129" s="45">
        <f>A$101</f>
        <v>11</v>
      </c>
      <c r="B129" s="46" t="str">
        <f>B$101</f>
        <v>Interconnection</v>
      </c>
      <c r="C129" s="46"/>
      <c r="D129" s="70"/>
      <c r="E129" s="71"/>
      <c r="F129" s="71">
        <f>F$107</f>
        <v>138.19999999999999</v>
      </c>
      <c r="G129" s="47"/>
      <c r="H129" s="183"/>
      <c r="I129" s="19"/>
      <c r="J129" s="37"/>
    </row>
    <row r="130" spans="1:10" ht="16.5" customHeight="1">
      <c r="A130" s="43"/>
      <c r="B130" s="48" t="s">
        <v>87</v>
      </c>
      <c r="C130" s="48"/>
      <c r="E130" s="66"/>
      <c r="F130" s="66">
        <f>SUM(F119:F129)</f>
        <v>2143.7999999999997</v>
      </c>
      <c r="G130" s="33"/>
      <c r="I130" s="19"/>
      <c r="J130" s="37"/>
    </row>
    <row r="131" spans="1:10" ht="16.5" customHeight="1">
      <c r="A131" s="43"/>
      <c r="B131" s="48"/>
      <c r="C131" s="48"/>
      <c r="E131" s="66"/>
      <c r="F131" s="66"/>
      <c r="G131" s="33"/>
      <c r="I131" s="19"/>
      <c r="J131" s="37"/>
    </row>
    <row r="132" spans="1:10" ht="16.5" customHeight="1">
      <c r="A132" s="45">
        <f>A$109</f>
        <v>12</v>
      </c>
      <c r="B132" s="46" t="str">
        <f>B$109</f>
        <v>Indirect Costs</v>
      </c>
      <c r="C132" s="46"/>
      <c r="D132" s="70"/>
      <c r="E132" s="71"/>
      <c r="F132" s="71">
        <f>F$116</f>
        <v>351.50399999999996</v>
      </c>
      <c r="G132" s="47"/>
      <c r="H132" s="46"/>
      <c r="I132" s="19"/>
      <c r="J132" s="37"/>
    </row>
    <row r="133" spans="1:10" ht="16.5" customHeight="1">
      <c r="A133" s="43"/>
      <c r="B133" s="48" t="s">
        <v>88</v>
      </c>
      <c r="C133" s="48"/>
      <c r="E133" s="66"/>
      <c r="F133" s="72">
        <f>F$130+F$132</f>
        <v>2495.3039999999996</v>
      </c>
      <c r="G133" s="49"/>
      <c r="I133" s="19"/>
      <c r="J133" s="37"/>
    </row>
    <row r="134" spans="1:10" ht="16.5" customHeight="1">
      <c r="A134" s="43"/>
      <c r="B134" s="48"/>
      <c r="C134" s="48"/>
      <c r="E134" s="66"/>
      <c r="F134" s="72"/>
      <c r="G134" s="49"/>
      <c r="I134" s="19"/>
      <c r="J134" s="37"/>
    </row>
    <row r="135" spans="1:10" ht="16.5" customHeight="1">
      <c r="A135" s="45">
        <v>13</v>
      </c>
      <c r="B135" s="46" t="s">
        <v>89</v>
      </c>
      <c r="C135" s="46"/>
      <c r="D135" s="73">
        <f>F$133*1000</f>
        <v>2495303.9999999995</v>
      </c>
      <c r="E135" s="245">
        <v>0.2</v>
      </c>
      <c r="F135" s="71">
        <f>D135*E135*0.001</f>
        <v>499.06079999999992</v>
      </c>
      <c r="G135" s="47"/>
      <c r="H135" s="46"/>
      <c r="I135" s="19"/>
      <c r="J135" s="37"/>
    </row>
    <row r="136" spans="1:10" ht="16.5" customHeight="1">
      <c r="E136" s="66"/>
      <c r="F136" s="66"/>
      <c r="G136" s="33"/>
      <c r="I136" s="19"/>
      <c r="J136" s="37"/>
    </row>
    <row r="137" spans="1:10" ht="16.5" customHeight="1">
      <c r="A137" s="12"/>
      <c r="B137" s="50" t="s">
        <v>90</v>
      </c>
      <c r="C137" s="7"/>
      <c r="D137" s="61"/>
      <c r="E137" s="62"/>
      <c r="F137" s="60">
        <f>F$133+F$135</f>
        <v>2994.3647999999994</v>
      </c>
      <c r="G137" s="8"/>
      <c r="H137" s="13"/>
      <c r="I137" s="19"/>
      <c r="J137" s="37"/>
    </row>
    <row r="138" spans="1:10">
      <c r="I138" s="19"/>
      <c r="J138" s="37"/>
    </row>
    <row r="139" spans="1:10">
      <c r="I139" s="19"/>
      <c r="J139" s="37"/>
    </row>
    <row r="140" spans="1:10">
      <c r="I140" s="19"/>
      <c r="J140" s="37"/>
    </row>
    <row r="141" spans="1:10">
      <c r="I141" s="19"/>
      <c r="J141" s="37"/>
    </row>
    <row r="142" spans="1:10">
      <c r="I142" s="19"/>
      <c r="J142" s="37"/>
    </row>
    <row r="143" spans="1:10">
      <c r="I143" s="19"/>
      <c r="J143" s="37"/>
    </row>
    <row r="144" spans="1:10">
      <c r="I144" s="19"/>
      <c r="J144" s="37"/>
    </row>
    <row r="145" spans="9:10">
      <c r="I145" s="19"/>
      <c r="J145" s="37"/>
    </row>
    <row r="146" spans="9:10">
      <c r="I146" s="19"/>
      <c r="J146" s="37"/>
    </row>
    <row r="147" spans="9:10">
      <c r="I147" s="19"/>
      <c r="J147" s="37"/>
    </row>
    <row r="148" spans="9:10">
      <c r="I148" s="19"/>
      <c r="J148" s="37"/>
    </row>
    <row r="149" spans="9:10">
      <c r="I149" s="19"/>
      <c r="J149" s="37"/>
    </row>
    <row r="150" spans="9:10">
      <c r="I150" s="19"/>
      <c r="J150" s="37"/>
    </row>
    <row r="151" spans="9:10">
      <c r="I151" s="19"/>
      <c r="J151" s="37"/>
    </row>
    <row r="152" spans="9:10">
      <c r="I152" s="19"/>
      <c r="J152" s="37"/>
    </row>
    <row r="153" spans="9:10">
      <c r="I153" s="19"/>
      <c r="J153" s="37"/>
    </row>
    <row r="154" spans="9:10">
      <c r="I154" s="19"/>
      <c r="J154" s="37"/>
    </row>
    <row r="155" spans="9:10">
      <c r="I155" s="19"/>
      <c r="J155" s="37"/>
    </row>
    <row r="156" spans="9:10">
      <c r="I156" s="19"/>
      <c r="J156" s="37"/>
    </row>
    <row r="157" spans="9:10">
      <c r="I157" s="19"/>
      <c r="J157" s="37"/>
    </row>
    <row r="158" spans="9:10">
      <c r="I158" s="19"/>
      <c r="J158" s="37"/>
    </row>
    <row r="159" spans="9:10">
      <c r="I159" s="19"/>
      <c r="J159" s="37"/>
    </row>
    <row r="160" spans="9:10">
      <c r="I160" s="19"/>
      <c r="J160" s="37"/>
    </row>
    <row r="161" spans="9:10">
      <c r="I161" s="19"/>
      <c r="J161" s="37"/>
    </row>
    <row r="162" spans="9:10">
      <c r="I162" s="19"/>
      <c r="J162" s="37"/>
    </row>
    <row r="163" spans="9:10">
      <c r="I163" s="19"/>
      <c r="J163" s="37"/>
    </row>
    <row r="164" spans="9:10">
      <c r="I164" s="19"/>
      <c r="J164" s="37"/>
    </row>
    <row r="165" spans="9:10">
      <c r="I165" s="19"/>
      <c r="J165" s="37"/>
    </row>
    <row r="166" spans="9:10">
      <c r="I166" s="19"/>
      <c r="J166" s="37"/>
    </row>
    <row r="167" spans="9:10">
      <c r="I167" s="19"/>
      <c r="J167" s="37"/>
    </row>
    <row r="168" spans="9:10">
      <c r="I168" s="19"/>
      <c r="J168" s="37"/>
    </row>
    <row r="169" spans="9:10">
      <c r="I169" s="19"/>
      <c r="J169" s="37"/>
    </row>
    <row r="170" spans="9:10">
      <c r="I170" s="19"/>
      <c r="J170" s="37"/>
    </row>
    <row r="171" spans="9:10">
      <c r="I171" s="19"/>
      <c r="J171" s="37"/>
    </row>
    <row r="172" spans="9:10">
      <c r="I172" s="19"/>
      <c r="J172" s="37"/>
    </row>
    <row r="173" spans="9:10">
      <c r="I173" s="19"/>
      <c r="J173" s="37"/>
    </row>
    <row r="174" spans="9:10">
      <c r="I174" s="19"/>
      <c r="J174" s="37"/>
    </row>
  </sheetData>
  <mergeCells count="1">
    <mergeCell ref="L3:S11"/>
  </mergeCells>
  <conditionalFormatting sqref="I24:N65536 I3:I5 I17:I22 N12:N22 L3 I7:I15 K18:L22 M20:M22 K5 K8:K15 L12:M15">
    <cfRule type="cellIs" dxfId="4" priority="3" stopIfTrue="1" operator="equal">
      <formula>0</formula>
    </cfRule>
  </conditionalFormatting>
  <conditionalFormatting sqref="L3">
    <cfRule type="cellIs" dxfId="3" priority="2" stopIfTrue="1" operator="equal">
      <formula>0</formula>
    </cfRule>
  </conditionalFormatting>
  <conditionalFormatting sqref="I24:N107 I17:I22 N12:N22 I10:I15 K18:L22 M20:M22 K10:K15 L12:M15">
    <cfRule type="cellIs" dxfId="2" priority="1" stopIfTrue="1" operator="equal">
      <formula>0</formula>
    </cfRule>
  </conditionalFormatting>
  <printOptions horizontalCentered="1" gridLines="1"/>
  <pageMargins left="0.75" right="0.75" top="0.63" bottom="0.63" header="0.32" footer="0.45"/>
  <pageSetup scale="61" fitToHeight="2" orientation="portrait" r:id="rId1"/>
  <headerFooter alignWithMargins="0">
    <oddHeader>&amp;L&amp;"Arial,Bold Italic"&amp;11&amp;A&amp;C&amp;"Arial,Bold Italic"&amp;11Ten Mile River Hydro
Phase I Feasibility Study&amp;R&amp;"Arial,Bold Italic"&amp;11For Planning Purposes Only</oddHeader>
    <oddFooter>&amp;L&amp;F&amp;R&amp;G</oddFooter>
  </headerFooter>
  <rowBreaks count="1" manualBreakCount="1">
    <brk id="92" max="7" man="1"/>
  </rowBreaks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theme="5"/>
  </sheetPr>
  <dimension ref="A1:S174"/>
  <sheetViews>
    <sheetView view="pageBreakPreview" zoomScale="75" zoomScaleNormal="90" zoomScaleSheetLayoutView="75" workbookViewId="0">
      <selection activeCell="H80" sqref="H80"/>
    </sheetView>
  </sheetViews>
  <sheetFormatPr defaultRowHeight="12.75"/>
  <cols>
    <col min="1" max="1" width="4.85546875" style="11" customWidth="1"/>
    <col min="2" max="2" width="32.5703125" style="11" customWidth="1"/>
    <col min="3" max="3" width="9.140625" style="11"/>
    <col min="4" max="4" width="12.42578125" style="69" customWidth="1"/>
    <col min="5" max="5" width="9.42578125" style="69" customWidth="1"/>
    <col min="6" max="6" width="12.85546875" style="69" customWidth="1"/>
    <col min="7" max="7" width="3.140625" style="11" customWidth="1"/>
    <col min="8" max="8" width="60.7109375" style="11" customWidth="1"/>
    <col min="9" max="9" width="4.85546875" style="11" customWidth="1"/>
    <col min="10" max="10" width="12.28515625" style="51" customWidth="1"/>
    <col min="11" max="11" width="12.42578125" style="10" customWidth="1"/>
    <col min="12" max="12" width="12.5703125" style="10" customWidth="1"/>
    <col min="13" max="14" width="9.140625" style="10"/>
    <col min="15" max="16384" width="9.140625" style="11"/>
  </cols>
  <sheetData>
    <row r="1" spans="1:19" ht="25.5">
      <c r="A1" s="7" t="s">
        <v>0</v>
      </c>
      <c r="B1" s="7" t="s">
        <v>1</v>
      </c>
      <c r="C1" s="7" t="s">
        <v>2</v>
      </c>
      <c r="D1" s="12" t="s">
        <v>3</v>
      </c>
      <c r="E1" s="60" t="s">
        <v>4</v>
      </c>
      <c r="F1" s="60" t="s">
        <v>5</v>
      </c>
      <c r="G1" s="8"/>
      <c r="H1" s="7" t="s">
        <v>6</v>
      </c>
      <c r="I1" s="7"/>
      <c r="J1" s="9"/>
      <c r="L1" s="10" t="s">
        <v>270</v>
      </c>
    </row>
    <row r="2" spans="1:19" ht="16.5" customHeight="1">
      <c r="A2" s="12">
        <v>1</v>
      </c>
      <c r="B2" s="7" t="s">
        <v>7</v>
      </c>
      <c r="C2" s="7"/>
      <c r="D2" s="61"/>
      <c r="E2" s="62"/>
      <c r="F2" s="62"/>
      <c r="G2" s="14"/>
      <c r="H2" s="13"/>
      <c r="I2" s="15"/>
      <c r="J2" s="16"/>
      <c r="K2" s="170"/>
      <c r="L2" s="141" t="s">
        <v>228</v>
      </c>
      <c r="M2" s="17"/>
      <c r="N2" s="17"/>
      <c r="O2" s="18"/>
      <c r="P2" s="18"/>
    </row>
    <row r="3" spans="1:19" ht="16.5" customHeight="1">
      <c r="A3" s="19" t="s">
        <v>8</v>
      </c>
      <c r="B3" s="20" t="s">
        <v>9</v>
      </c>
      <c r="C3" s="20"/>
      <c r="D3" s="61">
        <v>1</v>
      </c>
      <c r="E3" s="62">
        <v>25000</v>
      </c>
      <c r="F3" s="62">
        <f>0.001*D3*E3</f>
        <v>25</v>
      </c>
      <c r="G3" s="14"/>
      <c r="H3" s="13" t="s">
        <v>10</v>
      </c>
      <c r="I3" s="21"/>
      <c r="J3" s="22"/>
      <c r="L3" s="374" t="s">
        <v>298</v>
      </c>
      <c r="M3" s="374"/>
      <c r="N3" s="374"/>
      <c r="O3" s="374"/>
      <c r="P3" s="374"/>
      <c r="Q3" s="374"/>
      <c r="R3" s="374"/>
      <c r="S3" s="374"/>
    </row>
    <row r="4" spans="1:19" ht="16.5" customHeight="1">
      <c r="A4" s="19" t="s">
        <v>11</v>
      </c>
      <c r="B4" s="20" t="s">
        <v>12</v>
      </c>
      <c r="C4" s="20"/>
      <c r="D4" s="61">
        <v>1</v>
      </c>
      <c r="E4" s="62">
        <v>10000</v>
      </c>
      <c r="F4" s="62">
        <f>0.001*D4*E4</f>
        <v>10</v>
      </c>
      <c r="G4" s="14"/>
      <c r="H4" s="13" t="s">
        <v>10</v>
      </c>
      <c r="I4" s="21"/>
      <c r="J4" s="22"/>
      <c r="K4" s="140"/>
      <c r="L4" s="374"/>
      <c r="M4" s="374"/>
      <c r="N4" s="374"/>
      <c r="O4" s="374"/>
      <c r="P4" s="374"/>
      <c r="Q4" s="374"/>
      <c r="R4" s="374"/>
      <c r="S4" s="374"/>
    </row>
    <row r="5" spans="1:19" ht="18.75" customHeight="1">
      <c r="A5" s="19" t="s">
        <v>13</v>
      </c>
      <c r="B5" s="23" t="s">
        <v>14</v>
      </c>
      <c r="C5" s="23" t="s">
        <v>15</v>
      </c>
      <c r="D5" s="61">
        <v>4</v>
      </c>
      <c r="E5" s="62">
        <v>6200</v>
      </c>
      <c r="F5" s="62">
        <f>0.001*D5*E5</f>
        <v>24.8</v>
      </c>
      <c r="G5" s="14"/>
      <c r="H5" s="142" t="s">
        <v>285</v>
      </c>
      <c r="I5" s="21"/>
      <c r="J5" s="22"/>
      <c r="K5" s="17"/>
      <c r="L5" s="374"/>
      <c r="M5" s="374"/>
      <c r="N5" s="374"/>
      <c r="O5" s="374"/>
      <c r="P5" s="374"/>
      <c r="Q5" s="374"/>
      <c r="R5" s="374"/>
      <c r="S5" s="374"/>
    </row>
    <row r="6" spans="1:19" ht="16.5" customHeight="1">
      <c r="A6" s="19" t="s">
        <v>16</v>
      </c>
      <c r="B6" s="23" t="s">
        <v>17</v>
      </c>
      <c r="C6" s="23" t="s">
        <v>18</v>
      </c>
      <c r="D6" s="61">
        <v>2000</v>
      </c>
      <c r="E6" s="62">
        <v>10</v>
      </c>
      <c r="F6" s="62">
        <f>0.001*D6*E6</f>
        <v>20</v>
      </c>
      <c r="G6" s="14"/>
      <c r="H6" s="142" t="s">
        <v>285</v>
      </c>
      <c r="I6" s="18"/>
      <c r="J6" s="24"/>
      <c r="K6" s="25"/>
      <c r="L6" s="374"/>
      <c r="M6" s="374"/>
      <c r="N6" s="374"/>
      <c r="O6" s="374"/>
      <c r="P6" s="374"/>
      <c r="Q6" s="374"/>
      <c r="R6" s="374"/>
      <c r="S6" s="374"/>
    </row>
    <row r="7" spans="1:19" ht="16.5" customHeight="1">
      <c r="A7" s="26" t="s">
        <v>19</v>
      </c>
      <c r="B7" s="27" t="s">
        <v>151</v>
      </c>
      <c r="C7" s="27"/>
      <c r="D7" s="184">
        <v>1</v>
      </c>
      <c r="E7" s="64">
        <f>('Phase I Dam Repairs'!D4)*1000</f>
        <v>40000</v>
      </c>
      <c r="F7" s="64">
        <f>0.001*D7*E7</f>
        <v>40</v>
      </c>
      <c r="G7" s="29"/>
      <c r="H7" s="238" t="s">
        <v>286</v>
      </c>
      <c r="I7" s="21"/>
      <c r="J7" s="22"/>
      <c r="K7" s="30"/>
      <c r="L7" s="374"/>
      <c r="M7" s="374"/>
      <c r="N7" s="374"/>
      <c r="O7" s="374"/>
      <c r="P7" s="374"/>
      <c r="Q7" s="374"/>
      <c r="R7" s="374"/>
      <c r="S7" s="374"/>
    </row>
    <row r="8" spans="1:19" ht="16.5" customHeight="1">
      <c r="A8" s="19" t="s">
        <v>21</v>
      </c>
      <c r="B8" s="19" t="s">
        <v>22</v>
      </c>
      <c r="C8" s="19"/>
      <c r="D8" s="61"/>
      <c r="E8" s="62"/>
      <c r="F8" s="62">
        <f>SUM(F2:F7)</f>
        <v>119.8</v>
      </c>
      <c r="G8" s="14"/>
      <c r="H8" s="13"/>
      <c r="I8" s="21"/>
      <c r="J8" s="22"/>
      <c r="K8" s="31"/>
      <c r="L8" s="374"/>
      <c r="M8" s="374"/>
      <c r="N8" s="374"/>
      <c r="O8" s="374"/>
      <c r="P8" s="374"/>
      <c r="Q8" s="374"/>
      <c r="R8" s="374"/>
      <c r="S8" s="374"/>
    </row>
    <row r="9" spans="1:19" ht="16.5" customHeight="1">
      <c r="A9" s="19"/>
      <c r="B9" s="13"/>
      <c r="C9" s="13"/>
      <c r="D9" s="61"/>
      <c r="E9" s="62"/>
      <c r="F9" s="62"/>
      <c r="G9" s="14"/>
      <c r="H9" s="13"/>
      <c r="I9" s="21"/>
      <c r="J9" s="22"/>
      <c r="K9" s="31"/>
      <c r="L9" s="374"/>
      <c r="M9" s="374"/>
      <c r="N9" s="374"/>
      <c r="O9" s="374"/>
      <c r="P9" s="374"/>
      <c r="Q9" s="374"/>
      <c r="R9" s="374"/>
      <c r="S9" s="374"/>
    </row>
    <row r="10" spans="1:19" ht="16.5" customHeight="1">
      <c r="A10" s="12">
        <v>2</v>
      </c>
      <c r="B10" s="7" t="s">
        <v>130</v>
      </c>
      <c r="C10" s="7"/>
      <c r="D10" s="65"/>
      <c r="E10" s="62"/>
      <c r="F10" s="62"/>
      <c r="G10" s="14"/>
      <c r="H10" s="13"/>
      <c r="I10" s="21"/>
      <c r="J10" s="22"/>
      <c r="K10" s="31"/>
      <c r="L10" s="374"/>
      <c r="M10" s="374"/>
      <c r="N10" s="374"/>
      <c r="O10" s="374"/>
      <c r="P10" s="374"/>
      <c r="Q10" s="374"/>
      <c r="R10" s="374"/>
      <c r="S10" s="374"/>
    </row>
    <row r="11" spans="1:19" ht="16.5" customHeight="1">
      <c r="A11" s="19" t="s">
        <v>8</v>
      </c>
      <c r="B11" s="20" t="s">
        <v>114</v>
      </c>
      <c r="C11" s="32"/>
      <c r="D11" s="66"/>
      <c r="E11" s="62"/>
      <c r="F11" s="62">
        <v>100</v>
      </c>
      <c r="G11" s="14"/>
      <c r="H11" s="13" t="s">
        <v>10</v>
      </c>
      <c r="I11" s="21"/>
      <c r="J11" s="22"/>
      <c r="K11" s="31"/>
      <c r="L11" s="374"/>
      <c r="M11" s="374"/>
      <c r="N11" s="374"/>
      <c r="O11" s="374"/>
      <c r="P11" s="374"/>
      <c r="Q11" s="374"/>
      <c r="R11" s="374"/>
      <c r="S11" s="374"/>
    </row>
    <row r="12" spans="1:19" ht="16.5" customHeight="1">
      <c r="A12" s="19" t="s">
        <v>11</v>
      </c>
      <c r="B12" s="194" t="s">
        <v>376</v>
      </c>
      <c r="C12" s="32"/>
      <c r="D12" s="66"/>
      <c r="E12" s="62"/>
      <c r="F12" s="62">
        <v>10</v>
      </c>
      <c r="G12" s="14"/>
      <c r="H12" s="13" t="s">
        <v>10</v>
      </c>
      <c r="I12" s="21"/>
      <c r="J12" s="22"/>
      <c r="K12" s="31"/>
      <c r="L12" s="31"/>
      <c r="M12" s="31"/>
      <c r="N12" s="17"/>
      <c r="O12" s="18"/>
      <c r="P12" s="18"/>
    </row>
    <row r="13" spans="1:19" ht="16.5" customHeight="1">
      <c r="A13" s="19" t="s">
        <v>13</v>
      </c>
      <c r="B13" s="194" t="s">
        <v>318</v>
      </c>
      <c r="C13" s="20"/>
      <c r="D13" s="66">
        <v>1</v>
      </c>
      <c r="E13" s="62">
        <v>100000</v>
      </c>
      <c r="F13" s="62">
        <f t="shared" ref="F13:F29" si="0">0.001*D13*E13</f>
        <v>100</v>
      </c>
      <c r="G13" s="14"/>
      <c r="H13" s="142" t="s">
        <v>380</v>
      </c>
      <c r="I13" s="21"/>
      <c r="J13" s="22"/>
      <c r="K13" s="31"/>
      <c r="L13" s="31"/>
      <c r="M13" s="31"/>
      <c r="N13" s="17"/>
      <c r="O13" s="18"/>
      <c r="P13" s="18"/>
    </row>
    <row r="14" spans="1:19" ht="16.5" hidden="1" customHeight="1">
      <c r="A14" s="19" t="s">
        <v>25</v>
      </c>
      <c r="B14" s="34" t="s">
        <v>26</v>
      </c>
      <c r="C14" s="23" t="s">
        <v>27</v>
      </c>
      <c r="D14" s="189">
        <v>0</v>
      </c>
      <c r="E14" s="186">
        <v>100</v>
      </c>
      <c r="F14" s="186">
        <f t="shared" si="0"/>
        <v>0</v>
      </c>
      <c r="G14" s="187"/>
      <c r="H14" s="188" t="s">
        <v>156</v>
      </c>
      <c r="I14" s="21"/>
      <c r="J14" s="22"/>
      <c r="K14" s="17"/>
      <c r="L14" s="17"/>
      <c r="M14" s="17"/>
      <c r="N14" s="17"/>
      <c r="O14" s="18"/>
      <c r="P14" s="18"/>
    </row>
    <row r="15" spans="1:19" ht="27.75" hidden="1" customHeight="1">
      <c r="A15" s="19" t="s">
        <v>28</v>
      </c>
      <c r="B15" s="35" t="s">
        <v>29</v>
      </c>
      <c r="C15" s="23" t="s">
        <v>27</v>
      </c>
      <c r="D15" s="190">
        <v>0</v>
      </c>
      <c r="E15" s="186">
        <v>100</v>
      </c>
      <c r="F15" s="186">
        <f t="shared" si="0"/>
        <v>0</v>
      </c>
      <c r="G15" s="187"/>
      <c r="H15" s="188" t="s">
        <v>156</v>
      </c>
      <c r="I15" s="21"/>
      <c r="J15" s="22"/>
      <c r="K15" s="17"/>
      <c r="L15" s="17"/>
      <c r="M15" s="17"/>
      <c r="N15" s="17"/>
      <c r="O15" s="18"/>
      <c r="P15" s="18"/>
    </row>
    <row r="16" spans="1:19" ht="16.5" hidden="1" customHeight="1">
      <c r="A16" s="19" t="s">
        <v>30</v>
      </c>
      <c r="B16" s="35" t="s">
        <v>31</v>
      </c>
      <c r="C16" s="23" t="s">
        <v>27</v>
      </c>
      <c r="D16" s="190">
        <v>0</v>
      </c>
      <c r="E16" s="186">
        <v>100</v>
      </c>
      <c r="F16" s="186">
        <f t="shared" si="0"/>
        <v>0</v>
      </c>
      <c r="G16" s="187"/>
      <c r="H16" s="188" t="s">
        <v>156</v>
      </c>
      <c r="I16" s="18"/>
      <c r="J16" s="24"/>
      <c r="K16" s="25"/>
      <c r="L16" s="25"/>
      <c r="M16" s="25"/>
      <c r="N16" s="17"/>
      <c r="O16" s="18"/>
      <c r="P16" s="18"/>
    </row>
    <row r="17" spans="1:16" ht="16.5" hidden="1" customHeight="1">
      <c r="A17" s="21" t="s">
        <v>16</v>
      </c>
      <c r="B17" s="23" t="s">
        <v>32</v>
      </c>
      <c r="C17" s="23"/>
      <c r="D17" s="190">
        <v>0</v>
      </c>
      <c r="E17" s="186">
        <v>10000</v>
      </c>
      <c r="F17" s="186">
        <f t="shared" si="0"/>
        <v>0</v>
      </c>
      <c r="G17" s="187"/>
      <c r="H17" s="188" t="s">
        <v>10</v>
      </c>
      <c r="I17" s="21"/>
      <c r="J17" s="22"/>
      <c r="K17" s="30"/>
      <c r="L17" s="30"/>
      <c r="M17" s="30"/>
      <c r="N17" s="17"/>
      <c r="O17" s="18"/>
      <c r="P17" s="18"/>
    </row>
    <row r="18" spans="1:16" ht="16.5" hidden="1" customHeight="1">
      <c r="A18" s="19" t="s">
        <v>19</v>
      </c>
      <c r="B18" s="23" t="s">
        <v>33</v>
      </c>
      <c r="C18" s="23" t="s">
        <v>34</v>
      </c>
      <c r="D18" s="190">
        <v>0</v>
      </c>
      <c r="E18" s="186">
        <v>1000</v>
      </c>
      <c r="F18" s="186">
        <f t="shared" si="0"/>
        <v>0</v>
      </c>
      <c r="G18" s="187"/>
      <c r="H18" s="188" t="s">
        <v>156</v>
      </c>
      <c r="I18" s="21"/>
      <c r="J18" s="22"/>
      <c r="K18" s="31"/>
      <c r="L18" s="31"/>
      <c r="M18" s="30"/>
      <c r="N18" s="17"/>
      <c r="O18" s="18"/>
      <c r="P18" s="18"/>
    </row>
    <row r="19" spans="1:16" ht="16.5" hidden="1" customHeight="1">
      <c r="A19" s="19" t="s">
        <v>21</v>
      </c>
      <c r="B19" s="23" t="s">
        <v>57</v>
      </c>
      <c r="C19" s="23" t="s">
        <v>27</v>
      </c>
      <c r="D19" s="190">
        <v>0</v>
      </c>
      <c r="E19" s="186">
        <v>750</v>
      </c>
      <c r="F19" s="186">
        <f t="shared" si="0"/>
        <v>0</v>
      </c>
      <c r="G19" s="187"/>
      <c r="H19" s="188" t="s">
        <v>10</v>
      </c>
      <c r="I19" s="21"/>
      <c r="J19" s="22"/>
      <c r="K19" s="31"/>
      <c r="L19" s="31"/>
      <c r="M19" s="30"/>
      <c r="N19" s="17"/>
      <c r="O19" s="18"/>
      <c r="P19" s="18"/>
    </row>
    <row r="20" spans="1:16" ht="16.5" hidden="1" customHeight="1">
      <c r="A20" s="19" t="s">
        <v>35</v>
      </c>
      <c r="B20" s="23" t="s">
        <v>124</v>
      </c>
      <c r="C20" s="23" t="s">
        <v>23</v>
      </c>
      <c r="D20" s="190">
        <v>0</v>
      </c>
      <c r="E20" s="186">
        <v>100</v>
      </c>
      <c r="F20" s="186">
        <f t="shared" si="0"/>
        <v>0</v>
      </c>
      <c r="G20" s="187"/>
      <c r="H20" s="188" t="s">
        <v>157</v>
      </c>
      <c r="I20" s="21"/>
      <c r="J20" s="22"/>
      <c r="K20" s="31"/>
      <c r="L20" s="31"/>
      <c r="M20" s="31"/>
      <c r="N20" s="17"/>
      <c r="O20" s="18"/>
      <c r="P20" s="18"/>
    </row>
    <row r="21" spans="1:16" ht="16.5" hidden="1" customHeight="1">
      <c r="A21" s="19" t="s">
        <v>36</v>
      </c>
      <c r="B21" s="20" t="s">
        <v>37</v>
      </c>
      <c r="C21" s="32" t="s">
        <v>23</v>
      </c>
      <c r="D21" s="189">
        <v>0</v>
      </c>
      <c r="E21" s="186">
        <v>400</v>
      </c>
      <c r="F21" s="186">
        <f t="shared" si="0"/>
        <v>0</v>
      </c>
      <c r="G21" s="187"/>
      <c r="H21" s="188" t="s">
        <v>158</v>
      </c>
      <c r="I21" s="21"/>
      <c r="J21" s="22"/>
      <c r="K21" s="31"/>
      <c r="L21" s="31"/>
      <c r="M21" s="31"/>
      <c r="N21" s="17"/>
      <c r="O21" s="18"/>
      <c r="P21" s="18"/>
    </row>
    <row r="22" spans="1:16" ht="16.5" hidden="1" customHeight="1">
      <c r="A22" s="19" t="s">
        <v>25</v>
      </c>
      <c r="B22" s="20" t="s">
        <v>38</v>
      </c>
      <c r="C22" s="32"/>
      <c r="D22" s="66">
        <v>0</v>
      </c>
      <c r="E22" s="62">
        <v>150000</v>
      </c>
      <c r="F22" s="62">
        <f t="shared" si="0"/>
        <v>0</v>
      </c>
      <c r="G22" s="14"/>
      <c r="H22" s="36" t="s">
        <v>159</v>
      </c>
      <c r="I22" s="21"/>
      <c r="J22" s="22"/>
      <c r="K22" s="31"/>
      <c r="L22" s="31"/>
      <c r="M22" s="31"/>
      <c r="N22" s="17"/>
      <c r="O22" s="18"/>
      <c r="P22" s="18"/>
    </row>
    <row r="23" spans="1:16" ht="16.5" hidden="1" customHeight="1">
      <c r="A23" s="19" t="s">
        <v>39</v>
      </c>
      <c r="B23" s="23" t="s">
        <v>160</v>
      </c>
      <c r="C23" s="20"/>
      <c r="D23" s="61">
        <v>0</v>
      </c>
      <c r="E23" s="62">
        <v>15000</v>
      </c>
      <c r="F23" s="62">
        <f t="shared" si="0"/>
        <v>0</v>
      </c>
      <c r="G23" s="14"/>
      <c r="H23" s="36" t="s">
        <v>10</v>
      </c>
      <c r="J23" s="11"/>
      <c r="K23" s="11"/>
      <c r="L23" s="11"/>
      <c r="M23" s="11"/>
      <c r="N23" s="11"/>
    </row>
    <row r="24" spans="1:16" ht="33" customHeight="1">
      <c r="A24" s="19" t="s">
        <v>40</v>
      </c>
      <c r="B24" s="194" t="s">
        <v>292</v>
      </c>
      <c r="C24" s="194" t="s">
        <v>18</v>
      </c>
      <c r="D24" s="61">
        <v>300</v>
      </c>
      <c r="E24" s="62">
        <f>'Penstock Costs'!G17</f>
        <v>369.15431190000004</v>
      </c>
      <c r="F24" s="62">
        <f t="shared" si="0"/>
        <v>110.74629357000001</v>
      </c>
      <c r="G24" s="14"/>
      <c r="H24" s="142" t="s">
        <v>367</v>
      </c>
      <c r="I24" s="19"/>
      <c r="J24" s="37"/>
    </row>
    <row r="25" spans="1:16" ht="16.5" customHeight="1">
      <c r="A25" s="19" t="s">
        <v>41</v>
      </c>
      <c r="B25" s="20" t="s">
        <v>42</v>
      </c>
      <c r="C25" s="20"/>
      <c r="D25" s="61">
        <v>1</v>
      </c>
      <c r="E25" s="62">
        <v>5000</v>
      </c>
      <c r="F25" s="62">
        <f t="shared" si="0"/>
        <v>5</v>
      </c>
      <c r="G25" s="14"/>
      <c r="H25" s="13" t="s">
        <v>10</v>
      </c>
      <c r="I25" s="19"/>
      <c r="J25" s="37"/>
    </row>
    <row r="26" spans="1:16" ht="16.5" customHeight="1">
      <c r="A26" s="19" t="s">
        <v>43</v>
      </c>
      <c r="B26" s="20" t="s">
        <v>44</v>
      </c>
      <c r="C26" s="20"/>
      <c r="D26" s="61">
        <v>1</v>
      </c>
      <c r="E26" s="239">
        <v>10000</v>
      </c>
      <c r="F26" s="239">
        <f t="shared" si="0"/>
        <v>10</v>
      </c>
      <c r="G26" s="240"/>
      <c r="H26" s="142" t="s">
        <v>10</v>
      </c>
      <c r="I26" s="19"/>
      <c r="J26" s="37"/>
    </row>
    <row r="27" spans="1:16" ht="25.5" customHeight="1">
      <c r="A27" s="19" t="s">
        <v>45</v>
      </c>
      <c r="B27" s="20" t="s">
        <v>46</v>
      </c>
      <c r="C27" s="20"/>
      <c r="D27" s="61">
        <v>1</v>
      </c>
      <c r="E27" s="239">
        <v>10000</v>
      </c>
      <c r="F27" s="239">
        <f t="shared" si="0"/>
        <v>10</v>
      </c>
      <c r="G27" s="240"/>
      <c r="H27" s="142" t="s">
        <v>10</v>
      </c>
      <c r="I27" s="19"/>
      <c r="J27" s="37"/>
    </row>
    <row r="28" spans="1:16">
      <c r="A28" s="19" t="s">
        <v>47</v>
      </c>
      <c r="B28" s="20" t="s">
        <v>48</v>
      </c>
      <c r="C28" s="20"/>
      <c r="D28" s="61">
        <v>1</v>
      </c>
      <c r="E28" s="62">
        <v>5000</v>
      </c>
      <c r="F28" s="62">
        <f t="shared" si="0"/>
        <v>5</v>
      </c>
      <c r="G28" s="14"/>
      <c r="H28" s="13" t="s">
        <v>10</v>
      </c>
      <c r="I28" s="19"/>
      <c r="J28" s="37"/>
    </row>
    <row r="29" spans="1:16" ht="16.5" customHeight="1">
      <c r="A29" s="26" t="s">
        <v>49</v>
      </c>
      <c r="B29" s="38" t="s">
        <v>361</v>
      </c>
      <c r="C29" s="324" t="s">
        <v>240</v>
      </c>
      <c r="D29" s="300">
        <v>1</v>
      </c>
      <c r="E29" s="64">
        <v>150000</v>
      </c>
      <c r="F29" s="64">
        <f t="shared" si="0"/>
        <v>150</v>
      </c>
      <c r="G29" s="29"/>
      <c r="H29" s="238" t="s">
        <v>10</v>
      </c>
      <c r="I29" s="19"/>
      <c r="J29" s="37"/>
    </row>
    <row r="30" spans="1:16">
      <c r="A30" s="19" t="s">
        <v>50</v>
      </c>
      <c r="B30" s="19" t="s">
        <v>51</v>
      </c>
      <c r="C30" s="325"/>
      <c r="D30" s="330"/>
      <c r="E30" s="293"/>
      <c r="F30" s="293">
        <f>SUM(F11:F29)</f>
        <v>500.74629357000003</v>
      </c>
      <c r="G30" s="319"/>
      <c r="H30" s="307"/>
      <c r="I30" s="19"/>
      <c r="J30" s="37"/>
    </row>
    <row r="31" spans="1:16" ht="16.5" customHeight="1">
      <c r="A31" s="19"/>
      <c r="B31" s="13"/>
      <c r="C31" s="307"/>
      <c r="D31" s="330"/>
      <c r="E31" s="293"/>
      <c r="F31" s="293"/>
      <c r="G31" s="319"/>
      <c r="H31" s="307"/>
      <c r="I31" s="19"/>
      <c r="J31" s="37"/>
    </row>
    <row r="32" spans="1:16" ht="16.5" customHeight="1">
      <c r="A32" s="12">
        <v>3</v>
      </c>
      <c r="B32" s="7" t="s">
        <v>52</v>
      </c>
      <c r="C32" s="322"/>
      <c r="D32" s="330"/>
      <c r="E32" s="293"/>
      <c r="F32" s="293"/>
      <c r="G32" s="319"/>
      <c r="H32" s="307"/>
      <c r="I32" s="19"/>
      <c r="J32" s="37"/>
    </row>
    <row r="33" spans="1:10" ht="15">
      <c r="A33" s="19" t="s">
        <v>8</v>
      </c>
      <c r="B33" s="194" t="s">
        <v>319</v>
      </c>
      <c r="C33" s="303"/>
      <c r="D33" s="330">
        <v>1</v>
      </c>
      <c r="E33" s="62">
        <v>350000</v>
      </c>
      <c r="F33" s="293">
        <f t="shared" ref="F33:F38" si="1">0.001*D33*E33</f>
        <v>350</v>
      </c>
      <c r="G33" s="331"/>
      <c r="H33" s="329" t="s">
        <v>391</v>
      </c>
      <c r="I33" s="19"/>
      <c r="J33" s="37"/>
    </row>
    <row r="34" spans="1:10" ht="20.25" customHeight="1">
      <c r="A34" s="19" t="s">
        <v>11</v>
      </c>
      <c r="B34" s="23" t="s">
        <v>161</v>
      </c>
      <c r="C34" s="303"/>
      <c r="D34" s="330">
        <v>1</v>
      </c>
      <c r="E34" s="293">
        <f>SUM(F33,F35:F38)*1000*0.2</f>
        <v>93000</v>
      </c>
      <c r="F34" s="293">
        <f t="shared" si="1"/>
        <v>93</v>
      </c>
      <c r="G34" s="319"/>
      <c r="H34" s="307" t="s">
        <v>162</v>
      </c>
      <c r="I34" s="19"/>
      <c r="J34" s="37"/>
    </row>
    <row r="35" spans="1:10" ht="16.5" customHeight="1">
      <c r="A35" s="19" t="s">
        <v>13</v>
      </c>
      <c r="B35" s="20" t="s">
        <v>53</v>
      </c>
      <c r="C35" s="20"/>
      <c r="D35" s="191">
        <v>1</v>
      </c>
      <c r="E35" s="239">
        <f>'Interconnect Costs'!K10</f>
        <v>20000</v>
      </c>
      <c r="F35" s="239">
        <f t="shared" si="1"/>
        <v>20</v>
      </c>
      <c r="G35" s="240"/>
      <c r="H35" s="241" t="s">
        <v>274</v>
      </c>
      <c r="I35" s="19"/>
      <c r="J35" s="37"/>
    </row>
    <row r="36" spans="1:10" ht="16.5" customHeight="1">
      <c r="A36" s="19" t="s">
        <v>16</v>
      </c>
      <c r="B36" s="194" t="s">
        <v>320</v>
      </c>
      <c r="C36" s="20"/>
      <c r="D36" s="191">
        <v>1</v>
      </c>
      <c r="E36" s="239">
        <v>50000</v>
      </c>
      <c r="F36" s="239">
        <f t="shared" si="1"/>
        <v>50</v>
      </c>
      <c r="G36" s="240"/>
      <c r="H36" s="142" t="s">
        <v>10</v>
      </c>
      <c r="I36" s="19"/>
      <c r="J36" s="37"/>
    </row>
    <row r="37" spans="1:10">
      <c r="A37" s="19" t="s">
        <v>19</v>
      </c>
      <c r="B37" s="20" t="s">
        <v>55</v>
      </c>
      <c r="C37" s="20"/>
      <c r="D37" s="191">
        <v>1</v>
      </c>
      <c r="E37" s="239">
        <v>20000</v>
      </c>
      <c r="F37" s="239">
        <f t="shared" si="1"/>
        <v>20</v>
      </c>
      <c r="G37" s="240"/>
      <c r="H37" s="142" t="s">
        <v>10</v>
      </c>
      <c r="I37" s="19"/>
      <c r="J37" s="37"/>
    </row>
    <row r="38" spans="1:10" ht="16.5" customHeight="1">
      <c r="A38" s="26" t="s">
        <v>21</v>
      </c>
      <c r="B38" s="192" t="s">
        <v>321</v>
      </c>
      <c r="C38" s="27"/>
      <c r="D38" s="184">
        <v>1</v>
      </c>
      <c r="E38" s="64">
        <v>25000</v>
      </c>
      <c r="F38" s="64">
        <f t="shared" si="1"/>
        <v>25</v>
      </c>
      <c r="G38" s="29"/>
      <c r="H38" s="238" t="s">
        <v>10</v>
      </c>
      <c r="I38" s="19"/>
      <c r="J38" s="37"/>
    </row>
    <row r="39" spans="1:10" ht="16.5" customHeight="1">
      <c r="A39" s="19" t="s">
        <v>35</v>
      </c>
      <c r="B39" s="19" t="s">
        <v>56</v>
      </c>
      <c r="C39" s="19"/>
      <c r="D39" s="61"/>
      <c r="E39" s="62"/>
      <c r="F39" s="62">
        <f>SUM(F33:F38)</f>
        <v>558</v>
      </c>
      <c r="G39" s="14"/>
      <c r="H39" s="13"/>
      <c r="I39" s="19"/>
      <c r="J39" s="37"/>
    </row>
    <row r="40" spans="1:10" ht="16.5" hidden="1" customHeight="1">
      <c r="A40" s="19"/>
      <c r="B40" s="13"/>
      <c r="C40" s="13"/>
      <c r="D40" s="61"/>
      <c r="E40" s="62"/>
      <c r="F40" s="62"/>
      <c r="G40" s="14"/>
      <c r="H40" s="13"/>
      <c r="I40" s="19"/>
      <c r="J40" s="37"/>
    </row>
    <row r="41" spans="1:10" ht="16.5" hidden="1" customHeight="1">
      <c r="A41" s="12">
        <v>4</v>
      </c>
      <c r="B41" s="7" t="s">
        <v>132</v>
      </c>
      <c r="C41" s="7"/>
      <c r="D41" s="61"/>
      <c r="E41" s="62"/>
      <c r="F41" s="62"/>
      <c r="G41" s="14"/>
      <c r="H41" s="13"/>
      <c r="I41" s="19"/>
      <c r="J41" s="37"/>
    </row>
    <row r="42" spans="1:10" ht="16.5" hidden="1" customHeight="1">
      <c r="A42" s="19" t="s">
        <v>8</v>
      </c>
      <c r="B42" s="20" t="s">
        <v>133</v>
      </c>
      <c r="C42" s="23" t="s">
        <v>23</v>
      </c>
      <c r="D42" s="61"/>
      <c r="E42" s="62">
        <v>40</v>
      </c>
      <c r="F42" s="62">
        <f>0.001*D42*E42</f>
        <v>0</v>
      </c>
      <c r="G42" s="14"/>
      <c r="H42" s="13" t="s">
        <v>10</v>
      </c>
      <c r="I42" s="19"/>
      <c r="J42" s="37"/>
    </row>
    <row r="43" spans="1:10" ht="16.5" hidden="1" customHeight="1">
      <c r="A43" s="19" t="s">
        <v>11</v>
      </c>
      <c r="B43" s="20" t="s">
        <v>24</v>
      </c>
      <c r="C43" s="23" t="s">
        <v>27</v>
      </c>
      <c r="D43" s="61"/>
      <c r="E43" s="62">
        <v>15</v>
      </c>
      <c r="F43" s="62">
        <f>0.001*D43*E43</f>
        <v>0</v>
      </c>
      <c r="G43" s="14"/>
      <c r="H43" s="13" t="s">
        <v>10</v>
      </c>
      <c r="I43" s="19"/>
      <c r="J43" s="37"/>
    </row>
    <row r="44" spans="1:10" ht="16.5" hidden="1" customHeight="1">
      <c r="A44" s="19" t="s">
        <v>13</v>
      </c>
      <c r="B44" s="20" t="s">
        <v>134</v>
      </c>
      <c r="C44" s="23" t="s">
        <v>27</v>
      </c>
      <c r="D44" s="61"/>
      <c r="E44" s="62">
        <v>450</v>
      </c>
      <c r="F44" s="62">
        <f>0.001*D44*E44</f>
        <v>0</v>
      </c>
      <c r="G44" s="14"/>
      <c r="H44" s="13" t="s">
        <v>10</v>
      </c>
      <c r="I44" s="19"/>
      <c r="J44" s="37"/>
    </row>
    <row r="45" spans="1:10" hidden="1">
      <c r="A45" s="19" t="s">
        <v>16</v>
      </c>
      <c r="B45" s="20" t="s">
        <v>135</v>
      </c>
      <c r="C45" s="20"/>
      <c r="D45" s="61"/>
      <c r="E45" s="62"/>
      <c r="F45" s="62">
        <f>0.001*D45*E45</f>
        <v>0</v>
      </c>
      <c r="G45" s="14"/>
      <c r="H45" s="36"/>
      <c r="I45" s="19"/>
      <c r="J45" s="37"/>
    </row>
    <row r="46" spans="1:10" ht="16.5" hidden="1" customHeight="1">
      <c r="A46" s="26" t="s">
        <v>19</v>
      </c>
      <c r="B46" s="27" t="s">
        <v>20</v>
      </c>
      <c r="C46" s="27"/>
      <c r="D46" s="63"/>
      <c r="E46" s="64"/>
      <c r="F46" s="64">
        <f>0.001*D46*E46</f>
        <v>0</v>
      </c>
      <c r="G46" s="29"/>
      <c r="H46" s="28"/>
      <c r="I46" s="19"/>
      <c r="J46" s="37"/>
    </row>
    <row r="47" spans="1:10" ht="16.5" hidden="1" customHeight="1">
      <c r="A47" s="19" t="s">
        <v>21</v>
      </c>
      <c r="B47" s="19" t="s">
        <v>136</v>
      </c>
      <c r="C47" s="19"/>
      <c r="D47" s="61"/>
      <c r="E47" s="62"/>
      <c r="F47" s="62">
        <f>SUM(F42:F46)</f>
        <v>0</v>
      </c>
      <c r="G47" s="14"/>
      <c r="H47" s="13"/>
      <c r="I47" s="19"/>
      <c r="J47" s="37"/>
    </row>
    <row r="48" spans="1:10" ht="16.5" hidden="1" customHeight="1">
      <c r="A48" s="19"/>
      <c r="B48" s="13"/>
      <c r="C48" s="13"/>
      <c r="D48" s="61"/>
      <c r="E48" s="62"/>
      <c r="F48" s="62"/>
      <c r="G48" s="14"/>
      <c r="H48" s="13"/>
      <c r="I48" s="19"/>
      <c r="J48" s="37"/>
    </row>
    <row r="49" spans="1:10" ht="16.5" hidden="1" customHeight="1">
      <c r="A49" s="12">
        <v>5</v>
      </c>
      <c r="B49" s="7" t="s">
        <v>137</v>
      </c>
      <c r="C49" s="7"/>
      <c r="D49" s="61"/>
      <c r="E49" s="62"/>
      <c r="F49" s="62"/>
      <c r="G49" s="14"/>
      <c r="H49" s="13"/>
      <c r="I49" s="19"/>
      <c r="J49" s="37"/>
    </row>
    <row r="50" spans="1:10" ht="16.5" hidden="1" customHeight="1">
      <c r="A50" s="39" t="s">
        <v>8</v>
      </c>
      <c r="B50" s="40" t="s">
        <v>138</v>
      </c>
      <c r="C50" s="40"/>
      <c r="D50" s="61"/>
      <c r="E50" s="62">
        <v>1000</v>
      </c>
      <c r="F50" s="62">
        <f t="shared" ref="F50:F55" si="2">0.001*D50*E50</f>
        <v>0</v>
      </c>
      <c r="G50" s="14"/>
      <c r="H50" s="13" t="s">
        <v>10</v>
      </c>
      <c r="I50" s="19"/>
      <c r="J50" s="37"/>
    </row>
    <row r="51" spans="1:10" ht="16.5" hidden="1" customHeight="1">
      <c r="A51" s="39" t="s">
        <v>11</v>
      </c>
      <c r="B51" s="23" t="s">
        <v>17</v>
      </c>
      <c r="C51" s="23" t="s">
        <v>18</v>
      </c>
      <c r="D51" s="61"/>
      <c r="E51" s="62">
        <v>5</v>
      </c>
      <c r="F51" s="62">
        <f t="shared" si="2"/>
        <v>0</v>
      </c>
      <c r="G51" s="14"/>
      <c r="H51" s="13" t="s">
        <v>139</v>
      </c>
      <c r="I51" s="19"/>
      <c r="J51" s="37"/>
    </row>
    <row r="52" spans="1:10" ht="16.5" hidden="1" customHeight="1">
      <c r="A52" s="19" t="s">
        <v>13</v>
      </c>
      <c r="B52" s="41" t="s">
        <v>140</v>
      </c>
      <c r="C52" s="40" t="s">
        <v>15</v>
      </c>
      <c r="D52" s="61"/>
      <c r="E52" s="62">
        <v>6201</v>
      </c>
      <c r="F52" s="62">
        <f t="shared" si="2"/>
        <v>0</v>
      </c>
      <c r="G52" s="14"/>
      <c r="H52" s="13" t="s">
        <v>10</v>
      </c>
      <c r="I52" s="19"/>
      <c r="J52" s="37"/>
    </row>
    <row r="53" spans="1:10" ht="16.5" hidden="1" customHeight="1">
      <c r="A53" s="19" t="s">
        <v>16</v>
      </c>
      <c r="B53" s="41" t="s">
        <v>24</v>
      </c>
      <c r="C53" s="41" t="s">
        <v>27</v>
      </c>
      <c r="D53" s="67"/>
      <c r="E53" s="62">
        <v>15</v>
      </c>
      <c r="F53" s="62">
        <f t="shared" si="2"/>
        <v>0</v>
      </c>
      <c r="G53" s="14"/>
      <c r="H53" s="13" t="s">
        <v>139</v>
      </c>
      <c r="I53" s="19"/>
      <c r="J53" s="37"/>
    </row>
    <row r="54" spans="1:10" ht="16.5" hidden="1" customHeight="1">
      <c r="A54" s="19" t="s">
        <v>19</v>
      </c>
      <c r="B54" s="41" t="s">
        <v>141</v>
      </c>
      <c r="C54" s="41" t="s">
        <v>27</v>
      </c>
      <c r="D54" s="67"/>
      <c r="E54" s="62">
        <v>40</v>
      </c>
      <c r="F54" s="62">
        <f t="shared" si="2"/>
        <v>0</v>
      </c>
      <c r="G54" s="14"/>
      <c r="H54" s="13" t="s">
        <v>139</v>
      </c>
      <c r="I54" s="19"/>
      <c r="J54" s="37"/>
    </row>
    <row r="55" spans="1:10" ht="16.5" hidden="1" customHeight="1">
      <c r="A55" s="26" t="s">
        <v>21</v>
      </c>
      <c r="B55" s="27" t="s">
        <v>20</v>
      </c>
      <c r="C55" s="27"/>
      <c r="D55" s="63"/>
      <c r="E55" s="64"/>
      <c r="F55" s="64">
        <f t="shared" si="2"/>
        <v>0</v>
      </c>
      <c r="G55" s="29"/>
      <c r="H55" s="28"/>
      <c r="I55" s="19"/>
      <c r="J55" s="37"/>
    </row>
    <row r="56" spans="1:10" ht="16.5" hidden="1" customHeight="1">
      <c r="A56" s="19" t="s">
        <v>35</v>
      </c>
      <c r="B56" s="21" t="s">
        <v>142</v>
      </c>
      <c r="C56" s="21"/>
      <c r="D56" s="61"/>
      <c r="E56" s="62"/>
      <c r="F56" s="62">
        <f>SUM(F50:F55)</f>
        <v>0</v>
      </c>
      <c r="G56" s="14"/>
      <c r="H56" s="13"/>
      <c r="I56" s="19"/>
      <c r="J56" s="37"/>
    </row>
    <row r="57" spans="1:10" ht="16.5" hidden="1" customHeight="1">
      <c r="A57" s="19"/>
      <c r="B57" s="13"/>
      <c r="C57" s="13"/>
      <c r="D57" s="61"/>
      <c r="E57" s="62"/>
      <c r="F57" s="62"/>
      <c r="G57" s="14"/>
      <c r="H57" s="13"/>
      <c r="I57" s="19"/>
      <c r="J57" s="37"/>
    </row>
    <row r="58" spans="1:10" hidden="1">
      <c r="A58" s="12">
        <v>5</v>
      </c>
      <c r="B58" s="7" t="s">
        <v>143</v>
      </c>
      <c r="C58" s="7"/>
      <c r="D58" s="61"/>
      <c r="E58" s="62"/>
      <c r="F58" s="62"/>
      <c r="G58" s="14"/>
      <c r="H58" s="13"/>
      <c r="I58" s="19"/>
      <c r="J58" s="37"/>
    </row>
    <row r="59" spans="1:10" ht="16.5" hidden="1" customHeight="1">
      <c r="A59" s="39" t="s">
        <v>8</v>
      </c>
      <c r="B59" s="40" t="s">
        <v>138</v>
      </c>
      <c r="C59" s="40"/>
      <c r="D59" s="61"/>
      <c r="E59" s="62">
        <v>1000</v>
      </c>
      <c r="F59" s="62">
        <f t="shared" ref="F59:F64" si="3">0.001*D59*E59</f>
        <v>0</v>
      </c>
      <c r="G59" s="14"/>
      <c r="H59" s="13" t="s">
        <v>10</v>
      </c>
      <c r="I59" s="19"/>
      <c r="J59" s="37"/>
    </row>
    <row r="60" spans="1:10" ht="16.5" hidden="1" customHeight="1">
      <c r="A60" s="39" t="s">
        <v>11</v>
      </c>
      <c r="B60" s="23" t="s">
        <v>17</v>
      </c>
      <c r="C60" s="23" t="s">
        <v>18</v>
      </c>
      <c r="D60" s="61"/>
      <c r="E60" s="62">
        <v>5</v>
      </c>
      <c r="F60" s="62">
        <f t="shared" si="3"/>
        <v>0</v>
      </c>
      <c r="G60" s="14"/>
      <c r="H60" s="13" t="s">
        <v>139</v>
      </c>
      <c r="I60" s="19"/>
      <c r="J60" s="37"/>
    </row>
    <row r="61" spans="1:10" ht="16.5" hidden="1" customHeight="1">
      <c r="A61" s="19" t="s">
        <v>13</v>
      </c>
      <c r="B61" s="41" t="s">
        <v>140</v>
      </c>
      <c r="C61" s="40" t="s">
        <v>15</v>
      </c>
      <c r="D61" s="61"/>
      <c r="E61" s="62">
        <v>6201</v>
      </c>
      <c r="F61" s="62">
        <f t="shared" si="3"/>
        <v>0</v>
      </c>
      <c r="G61" s="14"/>
      <c r="H61" s="13" t="s">
        <v>10</v>
      </c>
      <c r="I61" s="19"/>
      <c r="J61" s="37"/>
    </row>
    <row r="62" spans="1:10" ht="16.5" hidden="1" customHeight="1">
      <c r="A62" s="19" t="s">
        <v>16</v>
      </c>
      <c r="B62" s="41" t="s">
        <v>24</v>
      </c>
      <c r="C62" s="41" t="s">
        <v>27</v>
      </c>
      <c r="D62" s="67"/>
      <c r="E62" s="62">
        <v>15</v>
      </c>
      <c r="F62" s="62">
        <f t="shared" si="3"/>
        <v>0</v>
      </c>
      <c r="G62" s="14"/>
      <c r="H62" s="13" t="s">
        <v>139</v>
      </c>
      <c r="I62" s="19"/>
      <c r="J62" s="37"/>
    </row>
    <row r="63" spans="1:10" hidden="1">
      <c r="A63" s="19" t="s">
        <v>19</v>
      </c>
      <c r="B63" s="41" t="s">
        <v>141</v>
      </c>
      <c r="C63" s="41" t="s">
        <v>27</v>
      </c>
      <c r="D63" s="67"/>
      <c r="E63" s="62">
        <v>40</v>
      </c>
      <c r="F63" s="62">
        <f t="shared" si="3"/>
        <v>0</v>
      </c>
      <c r="G63" s="14"/>
      <c r="H63" s="13" t="s">
        <v>139</v>
      </c>
      <c r="I63" s="19"/>
      <c r="J63" s="37"/>
    </row>
    <row r="64" spans="1:10" ht="16.5" hidden="1" customHeight="1">
      <c r="A64" s="26" t="s">
        <v>21</v>
      </c>
      <c r="B64" s="27" t="s">
        <v>20</v>
      </c>
      <c r="C64" s="27"/>
      <c r="D64" s="63"/>
      <c r="E64" s="64"/>
      <c r="F64" s="64">
        <f t="shared" si="3"/>
        <v>0</v>
      </c>
      <c r="G64" s="29"/>
      <c r="H64" s="28"/>
      <c r="I64" s="19"/>
      <c r="J64" s="37"/>
    </row>
    <row r="65" spans="1:10" ht="16.5" hidden="1" customHeight="1">
      <c r="A65" s="19" t="s">
        <v>35</v>
      </c>
      <c r="B65" s="21" t="s">
        <v>144</v>
      </c>
      <c r="C65" s="21"/>
      <c r="D65" s="61"/>
      <c r="E65" s="62"/>
      <c r="F65" s="62">
        <f>SUM(F59:F64)</f>
        <v>0</v>
      </c>
      <c r="G65" s="14"/>
      <c r="H65" s="13"/>
      <c r="I65" s="19"/>
      <c r="J65" s="37"/>
    </row>
    <row r="66" spans="1:10" ht="16.5" hidden="1" customHeight="1">
      <c r="A66" s="19"/>
      <c r="B66" s="13"/>
      <c r="C66" s="13"/>
      <c r="D66" s="61"/>
      <c r="E66" s="62"/>
      <c r="F66" s="62"/>
      <c r="G66" s="14"/>
      <c r="H66" s="13"/>
      <c r="I66" s="19"/>
      <c r="J66" s="37"/>
    </row>
    <row r="67" spans="1:10" ht="16.5" hidden="1" customHeight="1">
      <c r="A67" s="12">
        <v>7</v>
      </c>
      <c r="B67" s="7" t="s">
        <v>145</v>
      </c>
      <c r="C67" s="7"/>
      <c r="D67" s="61"/>
      <c r="E67" s="62"/>
      <c r="F67" s="62"/>
      <c r="G67" s="14"/>
      <c r="H67" s="13"/>
      <c r="I67" s="19"/>
      <c r="J67" s="37"/>
    </row>
    <row r="68" spans="1:10" ht="16.5" hidden="1" customHeight="1">
      <c r="A68" s="19" t="s">
        <v>8</v>
      </c>
      <c r="B68" s="41" t="s">
        <v>140</v>
      </c>
      <c r="C68" s="41" t="s">
        <v>15</v>
      </c>
      <c r="D68" s="61"/>
      <c r="E68" s="62">
        <v>6200</v>
      </c>
      <c r="F68" s="62">
        <f>0.001*D68*E68</f>
        <v>0</v>
      </c>
      <c r="G68" s="14"/>
      <c r="H68" s="13" t="s">
        <v>10</v>
      </c>
      <c r="I68" s="19"/>
      <c r="J68" s="37"/>
    </row>
    <row r="69" spans="1:10" ht="16.5" hidden="1" customHeight="1">
      <c r="A69" s="19" t="s">
        <v>11</v>
      </c>
      <c r="B69" s="40" t="s">
        <v>24</v>
      </c>
      <c r="C69" s="40" t="s">
        <v>27</v>
      </c>
      <c r="D69" s="67"/>
      <c r="E69" s="62">
        <v>20</v>
      </c>
      <c r="F69" s="62">
        <f>0.001*D69*E69</f>
        <v>0</v>
      </c>
      <c r="G69" s="14"/>
      <c r="H69" s="13" t="s">
        <v>146</v>
      </c>
      <c r="I69" s="19"/>
      <c r="J69" s="37"/>
    </row>
    <row r="70" spans="1:10" hidden="1">
      <c r="A70" s="19" t="s">
        <v>13</v>
      </c>
      <c r="B70" s="20" t="s">
        <v>147</v>
      </c>
      <c r="C70" s="20" t="s">
        <v>27</v>
      </c>
      <c r="D70" s="67"/>
      <c r="E70" s="62">
        <v>40</v>
      </c>
      <c r="F70" s="62">
        <f>0.001*D70*E70</f>
        <v>0</v>
      </c>
      <c r="G70" s="14"/>
      <c r="H70" s="13" t="s">
        <v>146</v>
      </c>
      <c r="I70" s="19"/>
      <c r="J70" s="37"/>
    </row>
    <row r="71" spans="1:10" ht="16.5" hidden="1" customHeight="1">
      <c r="A71" s="19" t="s">
        <v>16</v>
      </c>
      <c r="B71" s="20" t="s">
        <v>57</v>
      </c>
      <c r="C71" s="20" t="s">
        <v>27</v>
      </c>
      <c r="D71" s="61"/>
      <c r="E71" s="62">
        <v>450</v>
      </c>
      <c r="F71" s="62">
        <f>0.001*D71*E71</f>
        <v>0</v>
      </c>
      <c r="G71" s="14"/>
      <c r="H71" s="13" t="s">
        <v>10</v>
      </c>
      <c r="I71" s="19"/>
      <c r="J71" s="37"/>
    </row>
    <row r="72" spans="1:10" ht="16.5" hidden="1" customHeight="1">
      <c r="A72" s="26" t="s">
        <v>16</v>
      </c>
      <c r="B72" s="27" t="s">
        <v>20</v>
      </c>
      <c r="C72" s="27"/>
      <c r="D72" s="63"/>
      <c r="E72" s="64"/>
      <c r="F72" s="64">
        <f>0.001*D72*E72</f>
        <v>0</v>
      </c>
      <c r="G72" s="29"/>
      <c r="H72" s="28"/>
      <c r="I72" s="19"/>
      <c r="J72" s="37"/>
    </row>
    <row r="73" spans="1:10" ht="16.5" hidden="1" customHeight="1">
      <c r="A73" s="19" t="s">
        <v>19</v>
      </c>
      <c r="B73" s="39" t="s">
        <v>148</v>
      </c>
      <c r="C73" s="19"/>
      <c r="D73" s="61"/>
      <c r="E73" s="62"/>
      <c r="F73" s="62">
        <f>SUM(F68:F72)</f>
        <v>0</v>
      </c>
      <c r="G73" s="14"/>
      <c r="H73" s="13"/>
      <c r="I73" s="19"/>
      <c r="J73" s="37"/>
    </row>
    <row r="74" spans="1:10" ht="16.5" customHeight="1">
      <c r="A74" s="19"/>
      <c r="B74" s="13"/>
      <c r="C74" s="13"/>
      <c r="D74" s="61"/>
      <c r="E74" s="62"/>
      <c r="F74" s="62"/>
      <c r="G74" s="14"/>
      <c r="H74" s="13"/>
      <c r="I74" s="19"/>
      <c r="J74" s="37"/>
    </row>
    <row r="75" spans="1:10" ht="16.5" customHeight="1">
      <c r="A75" s="12">
        <v>8</v>
      </c>
      <c r="B75" s="7" t="s">
        <v>58</v>
      </c>
      <c r="C75" s="7"/>
      <c r="D75" s="61"/>
      <c r="E75" s="62"/>
      <c r="F75" s="62"/>
      <c r="G75" s="14"/>
      <c r="H75" s="13"/>
      <c r="I75" s="19"/>
      <c r="J75" s="37"/>
    </row>
    <row r="76" spans="1:10" ht="16.5" customHeight="1">
      <c r="A76" s="19" t="s">
        <v>8</v>
      </c>
      <c r="B76" s="23" t="s">
        <v>163</v>
      </c>
      <c r="C76" s="20"/>
      <c r="D76" s="61">
        <v>1</v>
      </c>
      <c r="E76" s="239">
        <v>40000</v>
      </c>
      <c r="F76" s="239">
        <f t="shared" ref="F76:F81" si="4">0.001*D76*E76</f>
        <v>40</v>
      </c>
      <c r="G76" s="240"/>
      <c r="H76" s="142" t="s">
        <v>396</v>
      </c>
      <c r="I76" s="19"/>
      <c r="J76" s="37"/>
    </row>
    <row r="77" spans="1:10" ht="16.5" customHeight="1">
      <c r="A77" s="19" t="s">
        <v>11</v>
      </c>
      <c r="B77" s="20" t="s">
        <v>59</v>
      </c>
      <c r="C77" s="20"/>
      <c r="D77" s="191">
        <v>0</v>
      </c>
      <c r="E77" s="239">
        <v>20000</v>
      </c>
      <c r="F77" s="239">
        <f t="shared" si="4"/>
        <v>0</v>
      </c>
      <c r="G77" s="240"/>
      <c r="H77" s="142" t="s">
        <v>245</v>
      </c>
      <c r="I77" s="19"/>
      <c r="J77" s="37"/>
    </row>
    <row r="78" spans="1:10" ht="16.5" customHeight="1">
      <c r="A78" s="19" t="s">
        <v>13</v>
      </c>
      <c r="B78" s="20" t="s">
        <v>60</v>
      </c>
      <c r="C78" s="20"/>
      <c r="D78" s="61">
        <v>1</v>
      </c>
      <c r="E78" s="62">
        <v>5000</v>
      </c>
      <c r="F78" s="62">
        <f t="shared" si="4"/>
        <v>5</v>
      </c>
      <c r="G78" s="14"/>
      <c r="H78" s="13" t="s">
        <v>10</v>
      </c>
      <c r="I78" s="19"/>
      <c r="J78" s="37"/>
    </row>
    <row r="79" spans="1:10" ht="16.5" customHeight="1">
      <c r="A79" s="39" t="s">
        <v>16</v>
      </c>
      <c r="B79" s="23" t="s">
        <v>61</v>
      </c>
      <c r="C79" s="23" t="s">
        <v>15</v>
      </c>
      <c r="D79" s="191">
        <v>1.5</v>
      </c>
      <c r="E79" s="239">
        <v>60000</v>
      </c>
      <c r="F79" s="239">
        <f t="shared" si="4"/>
        <v>90</v>
      </c>
      <c r="G79" s="240"/>
      <c r="H79" s="142" t="s">
        <v>446</v>
      </c>
      <c r="I79" s="19"/>
      <c r="J79" s="37"/>
    </row>
    <row r="80" spans="1:10" ht="16.5" customHeight="1">
      <c r="A80" s="39" t="s">
        <v>19</v>
      </c>
      <c r="B80" s="20" t="s">
        <v>62</v>
      </c>
      <c r="C80" s="20"/>
      <c r="D80" s="61">
        <v>1</v>
      </c>
      <c r="E80" s="62">
        <v>20000</v>
      </c>
      <c r="F80" s="62">
        <f t="shared" si="4"/>
        <v>20</v>
      </c>
      <c r="G80" s="14"/>
      <c r="H80" s="13" t="s">
        <v>10</v>
      </c>
      <c r="I80" s="19"/>
      <c r="J80" s="37"/>
    </row>
    <row r="81" spans="1:10" ht="16.5" customHeight="1">
      <c r="A81" s="42" t="s">
        <v>21</v>
      </c>
      <c r="B81" s="27" t="s">
        <v>149</v>
      </c>
      <c r="C81" s="27"/>
      <c r="D81" s="63">
        <v>1</v>
      </c>
      <c r="E81" s="64">
        <v>7500</v>
      </c>
      <c r="F81" s="64">
        <f t="shared" si="4"/>
        <v>7.5</v>
      </c>
      <c r="G81" s="29"/>
      <c r="H81" s="28" t="s">
        <v>10</v>
      </c>
      <c r="I81" s="19"/>
      <c r="J81" s="37"/>
    </row>
    <row r="82" spans="1:10" ht="16.5" customHeight="1">
      <c r="A82" s="39" t="s">
        <v>35</v>
      </c>
      <c r="B82" s="39" t="s">
        <v>63</v>
      </c>
      <c r="C82" s="13"/>
      <c r="D82" s="61"/>
      <c r="E82" s="62"/>
      <c r="F82" s="62">
        <f>SUM(F76:F81)</f>
        <v>162.5</v>
      </c>
      <c r="G82" s="14"/>
      <c r="H82" s="13"/>
      <c r="I82" s="19"/>
      <c r="J82" s="37"/>
    </row>
    <row r="83" spans="1:10" ht="16.5" customHeight="1">
      <c r="A83" s="19"/>
      <c r="B83" s="13"/>
      <c r="C83" s="13"/>
      <c r="D83" s="61"/>
      <c r="E83" s="62"/>
      <c r="F83" s="62"/>
      <c r="G83" s="14"/>
      <c r="H83" s="13"/>
      <c r="I83" s="19"/>
      <c r="J83" s="37"/>
    </row>
    <row r="84" spans="1:10" ht="16.5" customHeight="1">
      <c r="A84" s="12">
        <v>9</v>
      </c>
      <c r="B84" s="7" t="s">
        <v>247</v>
      </c>
      <c r="C84" s="7"/>
      <c r="D84" s="61"/>
      <c r="E84" s="62"/>
      <c r="F84" s="62"/>
      <c r="G84" s="14"/>
      <c r="H84" s="13"/>
      <c r="I84" s="19"/>
      <c r="J84" s="37"/>
    </row>
    <row r="85" spans="1:10" ht="16.5" customHeight="1">
      <c r="A85" s="19" t="s">
        <v>8</v>
      </c>
      <c r="B85" s="172" t="s">
        <v>248</v>
      </c>
      <c r="C85" s="41" t="s">
        <v>64</v>
      </c>
      <c r="D85" s="191">
        <v>2</v>
      </c>
      <c r="E85" s="239">
        <v>50000</v>
      </c>
      <c r="F85" s="239">
        <f t="shared" ref="F85:F90" si="5">0.001*D85*E85</f>
        <v>100</v>
      </c>
      <c r="G85" s="240"/>
      <c r="H85" s="142" t="s">
        <v>10</v>
      </c>
      <c r="I85" s="19"/>
      <c r="J85" s="37"/>
    </row>
    <row r="86" spans="1:10" ht="16.5" customHeight="1">
      <c r="A86" s="19" t="s">
        <v>11</v>
      </c>
      <c r="B86" s="41" t="s">
        <v>65</v>
      </c>
      <c r="C86" s="41" t="s">
        <v>64</v>
      </c>
      <c r="D86" s="191">
        <v>2</v>
      </c>
      <c r="E86" s="239">
        <v>75000</v>
      </c>
      <c r="F86" s="239">
        <f t="shared" si="5"/>
        <v>150</v>
      </c>
      <c r="G86" s="240"/>
      <c r="H86" s="142" t="s">
        <v>287</v>
      </c>
      <c r="I86" s="19"/>
      <c r="J86" s="37"/>
    </row>
    <row r="87" spans="1:10" ht="16.5" customHeight="1">
      <c r="A87" s="19" t="s">
        <v>13</v>
      </c>
      <c r="B87" s="172" t="s">
        <v>249</v>
      </c>
      <c r="C87" s="41"/>
      <c r="D87" s="191">
        <v>1</v>
      </c>
      <c r="E87" s="239">
        <v>50000</v>
      </c>
      <c r="F87" s="239">
        <f t="shared" si="5"/>
        <v>50</v>
      </c>
      <c r="G87" s="240"/>
      <c r="H87" s="142" t="s">
        <v>10</v>
      </c>
      <c r="I87" s="19"/>
      <c r="J87" s="37"/>
    </row>
    <row r="88" spans="1:10">
      <c r="A88" s="19" t="s">
        <v>16</v>
      </c>
      <c r="B88" s="172" t="s">
        <v>250</v>
      </c>
      <c r="C88" s="41"/>
      <c r="D88" s="191">
        <v>1</v>
      </c>
      <c r="E88" s="239">
        <v>25000</v>
      </c>
      <c r="F88" s="239">
        <f t="shared" si="5"/>
        <v>25</v>
      </c>
      <c r="G88" s="240"/>
      <c r="H88" s="142" t="s">
        <v>10</v>
      </c>
      <c r="I88" s="19"/>
      <c r="J88" s="37"/>
    </row>
    <row r="89" spans="1:10" ht="16.5" customHeight="1">
      <c r="A89" s="19" t="s">
        <v>19</v>
      </c>
      <c r="B89" s="41" t="s">
        <v>66</v>
      </c>
      <c r="C89" s="41"/>
      <c r="D89" s="191">
        <v>1</v>
      </c>
      <c r="E89" s="239">
        <v>25000</v>
      </c>
      <c r="F89" s="239">
        <f t="shared" si="5"/>
        <v>25</v>
      </c>
      <c r="G89" s="240"/>
      <c r="H89" s="142" t="s">
        <v>10</v>
      </c>
      <c r="I89" s="19"/>
      <c r="J89" s="37"/>
    </row>
    <row r="90" spans="1:10" ht="16.5" customHeight="1">
      <c r="A90" s="26" t="s">
        <v>21</v>
      </c>
      <c r="B90" s="192" t="s">
        <v>251</v>
      </c>
      <c r="C90" s="27"/>
      <c r="D90" s="184">
        <v>1</v>
      </c>
      <c r="E90" s="242">
        <v>50000</v>
      </c>
      <c r="F90" s="242">
        <f t="shared" si="5"/>
        <v>50</v>
      </c>
      <c r="G90" s="243"/>
      <c r="H90" s="238" t="s">
        <v>273</v>
      </c>
      <c r="I90" s="19"/>
      <c r="J90" s="37"/>
    </row>
    <row r="91" spans="1:10" ht="16.5" customHeight="1">
      <c r="A91" s="19" t="s">
        <v>35</v>
      </c>
      <c r="B91" s="244" t="s">
        <v>322</v>
      </c>
      <c r="C91" s="21"/>
      <c r="D91" s="61"/>
      <c r="E91" s="62"/>
      <c r="F91" s="62">
        <f>SUM(F85:F90)</f>
        <v>400</v>
      </c>
      <c r="G91" s="14"/>
      <c r="H91" s="13"/>
      <c r="I91" s="19"/>
      <c r="J91" s="37"/>
    </row>
    <row r="92" spans="1:10" ht="16.5" customHeight="1">
      <c r="A92" s="19"/>
      <c r="B92" s="13"/>
      <c r="C92" s="13"/>
      <c r="D92" s="61"/>
      <c r="E92" s="62"/>
      <c r="F92" s="62"/>
      <c r="G92" s="14"/>
      <c r="H92" s="13"/>
      <c r="I92" s="19"/>
      <c r="J92" s="37"/>
    </row>
    <row r="93" spans="1:10" ht="16.5" customHeight="1">
      <c r="A93" s="12">
        <v>10</v>
      </c>
      <c r="B93" s="7" t="s">
        <v>67</v>
      </c>
      <c r="C93" s="7"/>
      <c r="D93" s="61"/>
      <c r="E93" s="62"/>
      <c r="F93" s="62"/>
      <c r="G93" s="14"/>
      <c r="H93" s="13"/>
      <c r="I93" s="19"/>
      <c r="J93" s="37"/>
    </row>
    <row r="94" spans="1:10" ht="16.5" customHeight="1">
      <c r="A94" s="19" t="s">
        <v>8</v>
      </c>
      <c r="B94" s="41" t="s">
        <v>68</v>
      </c>
      <c r="C94" s="41"/>
      <c r="D94" s="69">
        <v>1</v>
      </c>
      <c r="E94" s="66">
        <v>5000</v>
      </c>
      <c r="F94" s="62">
        <f>0.001*D94*E94</f>
        <v>5</v>
      </c>
      <c r="G94" s="14"/>
      <c r="H94" s="13" t="s">
        <v>10</v>
      </c>
      <c r="I94" s="19"/>
      <c r="J94" s="37"/>
    </row>
    <row r="95" spans="1:10">
      <c r="A95" s="19" t="s">
        <v>11</v>
      </c>
      <c r="B95" s="41" t="s">
        <v>69</v>
      </c>
      <c r="C95" s="41"/>
      <c r="D95" s="246">
        <v>1</v>
      </c>
      <c r="E95" s="247">
        <v>20000</v>
      </c>
      <c r="F95" s="239">
        <f>0.001*D95*E95</f>
        <v>20</v>
      </c>
      <c r="G95" s="240"/>
      <c r="H95" s="176" t="s">
        <v>290</v>
      </c>
      <c r="I95" s="19"/>
      <c r="J95" s="37"/>
    </row>
    <row r="96" spans="1:10" ht="16.5" customHeight="1">
      <c r="A96" s="19" t="s">
        <v>13</v>
      </c>
      <c r="B96" s="41" t="s">
        <v>70</v>
      </c>
      <c r="C96" s="41"/>
      <c r="D96" s="69">
        <v>1</v>
      </c>
      <c r="E96" s="66">
        <v>5000</v>
      </c>
      <c r="F96" s="62">
        <f>0.001*D96*E96</f>
        <v>5</v>
      </c>
      <c r="G96" s="14"/>
      <c r="H96" s="13" t="s">
        <v>10</v>
      </c>
      <c r="I96" s="19"/>
      <c r="J96" s="37"/>
    </row>
    <row r="97" spans="1:10" ht="15.75" customHeight="1">
      <c r="A97" s="19" t="s">
        <v>16</v>
      </c>
      <c r="B97" s="41" t="s">
        <v>71</v>
      </c>
      <c r="C97" s="41"/>
      <c r="D97" s="69">
        <v>1</v>
      </c>
      <c r="E97" s="66">
        <v>10000</v>
      </c>
      <c r="F97" s="62">
        <f>0.001*D97*E97</f>
        <v>10</v>
      </c>
      <c r="G97" s="14"/>
      <c r="H97" s="13" t="s">
        <v>10</v>
      </c>
      <c r="I97" s="19"/>
      <c r="J97" s="37"/>
    </row>
    <row r="98" spans="1:10" ht="16.5" customHeight="1">
      <c r="A98" s="26" t="s">
        <v>19</v>
      </c>
      <c r="B98" s="27" t="s">
        <v>20</v>
      </c>
      <c r="C98" s="27"/>
      <c r="D98" s="63"/>
      <c r="E98" s="64"/>
      <c r="F98" s="64">
        <f>0.001*D98*E98</f>
        <v>0</v>
      </c>
      <c r="G98" s="29"/>
      <c r="H98" s="28"/>
      <c r="I98" s="19"/>
      <c r="J98" s="37"/>
    </row>
    <row r="99" spans="1:10" ht="16.5" customHeight="1">
      <c r="A99" s="19" t="s">
        <v>21</v>
      </c>
      <c r="B99" s="39" t="s">
        <v>72</v>
      </c>
      <c r="C99" s="39"/>
      <c r="D99" s="61"/>
      <c r="E99" s="62"/>
      <c r="F99" s="62">
        <f>SUM(F94:F98)</f>
        <v>40</v>
      </c>
      <c r="G99" s="14"/>
      <c r="H99" s="13"/>
      <c r="I99" s="19"/>
      <c r="J99" s="37"/>
    </row>
    <row r="100" spans="1:10" ht="16.5" customHeight="1">
      <c r="A100" s="13"/>
      <c r="B100" s="13"/>
      <c r="C100" s="13"/>
      <c r="D100" s="61"/>
      <c r="E100" s="62"/>
      <c r="F100" s="62"/>
      <c r="G100" s="14"/>
      <c r="H100" s="13"/>
      <c r="I100" s="19"/>
      <c r="J100" s="37"/>
    </row>
    <row r="101" spans="1:10" ht="16.5" customHeight="1">
      <c r="A101" s="12">
        <v>11</v>
      </c>
      <c r="B101" s="7" t="s">
        <v>73</v>
      </c>
      <c r="C101" s="7"/>
      <c r="D101" s="61"/>
      <c r="E101" s="62"/>
      <c r="F101" s="62"/>
      <c r="G101" s="14"/>
      <c r="H101" s="13"/>
      <c r="I101" s="19"/>
      <c r="J101" s="37"/>
    </row>
    <row r="102" spans="1:10" ht="16.5" customHeight="1">
      <c r="A102" s="19" t="s">
        <v>8</v>
      </c>
      <c r="B102" s="20" t="s">
        <v>14</v>
      </c>
      <c r="C102" s="20" t="s">
        <v>15</v>
      </c>
      <c r="D102" s="191">
        <v>1</v>
      </c>
      <c r="E102" s="239">
        <v>6200</v>
      </c>
      <c r="F102" s="239">
        <f>0.001*D102*E102</f>
        <v>6.2</v>
      </c>
      <c r="G102" s="240"/>
      <c r="H102" s="142" t="s">
        <v>10</v>
      </c>
      <c r="I102" s="19"/>
      <c r="J102" s="37"/>
    </row>
    <row r="103" spans="1:10" ht="16.5" customHeight="1">
      <c r="A103" s="19" t="s">
        <v>11</v>
      </c>
      <c r="B103" s="20" t="s">
        <v>74</v>
      </c>
      <c r="C103" s="20"/>
      <c r="D103" s="191">
        <v>1</v>
      </c>
      <c r="E103" s="239">
        <f>'Interconnect Costs'!K6</f>
        <v>52000</v>
      </c>
      <c r="F103" s="239">
        <f>0.001*D103*E103</f>
        <v>52</v>
      </c>
      <c r="G103" s="240"/>
      <c r="H103" s="142" t="s">
        <v>274</v>
      </c>
      <c r="I103" s="19"/>
      <c r="J103" s="37"/>
    </row>
    <row r="104" spans="1:10" ht="16.5" customHeight="1">
      <c r="A104" s="19" t="s">
        <v>13</v>
      </c>
      <c r="B104" s="20" t="s">
        <v>75</v>
      </c>
      <c r="C104" s="20"/>
      <c r="D104" s="191">
        <v>1</v>
      </c>
      <c r="E104" s="239">
        <v>10000</v>
      </c>
      <c r="F104" s="239">
        <f>0.001*D104*E104</f>
        <v>10</v>
      </c>
      <c r="G104" s="240"/>
      <c r="H104" s="142" t="s">
        <v>10</v>
      </c>
      <c r="I104" s="19"/>
      <c r="J104" s="37"/>
    </row>
    <row r="105" spans="1:10" ht="32.25" customHeight="1">
      <c r="A105" s="19" t="s">
        <v>13</v>
      </c>
      <c r="B105" s="20" t="s">
        <v>76</v>
      </c>
      <c r="C105" s="20"/>
      <c r="D105" s="191">
        <v>1</v>
      </c>
      <c r="E105" s="239">
        <f>'Interconnect Costs'!K7+'Interconnect Costs'!K8+'Interconnect Costs'!K9</f>
        <v>50000</v>
      </c>
      <c r="F105" s="239">
        <f>0.001*D105*E105</f>
        <v>50</v>
      </c>
      <c r="G105" s="240"/>
      <c r="H105" s="142" t="s">
        <v>274</v>
      </c>
      <c r="I105" s="19"/>
      <c r="J105" s="37"/>
    </row>
    <row r="106" spans="1:10" ht="16.5" customHeight="1">
      <c r="A106" s="26" t="s">
        <v>16</v>
      </c>
      <c r="B106" s="192" t="s">
        <v>248</v>
      </c>
      <c r="C106" s="27"/>
      <c r="D106" s="184">
        <v>1</v>
      </c>
      <c r="E106" s="242">
        <v>20000</v>
      </c>
      <c r="F106" s="242">
        <f>0.001*D106*E106</f>
        <v>20</v>
      </c>
      <c r="G106" s="243"/>
      <c r="H106" s="238" t="s">
        <v>10</v>
      </c>
      <c r="I106" s="19"/>
      <c r="J106" s="37"/>
    </row>
    <row r="107" spans="1:10">
      <c r="A107" s="19" t="s">
        <v>21</v>
      </c>
      <c r="B107" s="19" t="s">
        <v>77</v>
      </c>
      <c r="C107" s="19"/>
      <c r="D107" s="191"/>
      <c r="E107" s="239"/>
      <c r="F107" s="239">
        <f>SUM(F102:F106)</f>
        <v>138.19999999999999</v>
      </c>
      <c r="G107" s="240"/>
      <c r="H107" s="142"/>
      <c r="I107" s="19"/>
      <c r="J107" s="37"/>
    </row>
    <row r="108" spans="1:10" ht="16.5" customHeight="1">
      <c r="A108" s="13"/>
      <c r="B108" s="13"/>
      <c r="C108" s="13"/>
      <c r="D108" s="61"/>
      <c r="E108" s="62"/>
      <c r="F108" s="62"/>
      <c r="G108" s="14"/>
      <c r="H108" s="13"/>
      <c r="I108" s="19"/>
      <c r="J108" s="37"/>
    </row>
    <row r="109" spans="1:10" ht="16.5" customHeight="1">
      <c r="A109" s="12">
        <v>12</v>
      </c>
      <c r="B109" s="7" t="s">
        <v>78</v>
      </c>
      <c r="C109" s="7"/>
      <c r="D109" s="61"/>
      <c r="E109" s="62"/>
      <c r="F109" s="62"/>
      <c r="G109" s="14"/>
      <c r="H109" s="13"/>
      <c r="I109" s="19"/>
      <c r="J109" s="37"/>
    </row>
    <row r="110" spans="1:10" ht="16.5" customHeight="1">
      <c r="A110" s="19" t="s">
        <v>8</v>
      </c>
      <c r="B110" s="20" t="s">
        <v>79</v>
      </c>
      <c r="C110" s="20"/>
      <c r="D110" s="61">
        <v>1</v>
      </c>
      <c r="E110" s="62">
        <f>F130*1000*0.08</f>
        <v>153539.70348560001</v>
      </c>
      <c r="F110" s="62">
        <f t="shared" ref="F110:F115" si="6">0.001*D110*E110</f>
        <v>153.5397034856</v>
      </c>
      <c r="G110" s="14"/>
      <c r="H110" s="36" t="s">
        <v>164</v>
      </c>
      <c r="I110" s="19"/>
      <c r="J110" s="37"/>
    </row>
    <row r="111" spans="1:10">
      <c r="A111" s="19" t="s">
        <v>11</v>
      </c>
      <c r="B111" s="20" t="s">
        <v>80</v>
      </c>
      <c r="C111" s="20"/>
      <c r="D111" s="61">
        <v>1</v>
      </c>
      <c r="E111" s="62">
        <v>25000</v>
      </c>
      <c r="F111" s="62">
        <f t="shared" si="6"/>
        <v>25</v>
      </c>
      <c r="G111" s="14"/>
      <c r="H111" s="13" t="s">
        <v>10</v>
      </c>
      <c r="I111" s="19"/>
      <c r="J111" s="37"/>
    </row>
    <row r="112" spans="1:10" ht="16.5" customHeight="1">
      <c r="A112" s="19" t="s">
        <v>13</v>
      </c>
      <c r="B112" s="20" t="s">
        <v>81</v>
      </c>
      <c r="C112" s="20"/>
      <c r="D112" s="61">
        <v>1</v>
      </c>
      <c r="E112" s="62">
        <v>20000</v>
      </c>
      <c r="F112" s="62">
        <f t="shared" si="6"/>
        <v>20</v>
      </c>
      <c r="G112" s="14"/>
      <c r="H112" s="13" t="s">
        <v>82</v>
      </c>
      <c r="I112" s="19"/>
      <c r="J112" s="37"/>
    </row>
    <row r="113" spans="1:10" ht="16.5" customHeight="1">
      <c r="A113" s="19" t="s">
        <v>16</v>
      </c>
      <c r="B113" s="20" t="s">
        <v>83</v>
      </c>
      <c r="C113" s="20"/>
      <c r="D113" s="61">
        <v>1</v>
      </c>
      <c r="E113" s="62">
        <v>35000</v>
      </c>
      <c r="F113" s="62">
        <f t="shared" si="6"/>
        <v>35</v>
      </c>
      <c r="G113" s="14"/>
      <c r="H113" s="13" t="s">
        <v>91</v>
      </c>
      <c r="I113" s="19"/>
      <c r="J113" s="37"/>
    </row>
    <row r="114" spans="1:10">
      <c r="A114" s="19" t="s">
        <v>19</v>
      </c>
      <c r="B114" s="20" t="s">
        <v>84</v>
      </c>
      <c r="C114" s="20"/>
      <c r="D114" s="61">
        <v>1</v>
      </c>
      <c r="E114" s="62">
        <v>100000</v>
      </c>
      <c r="F114" s="62">
        <f t="shared" si="6"/>
        <v>100</v>
      </c>
      <c r="G114" s="14"/>
      <c r="H114" s="13" t="s">
        <v>10</v>
      </c>
      <c r="I114" s="19"/>
      <c r="J114" s="37"/>
    </row>
    <row r="115" spans="1:10" ht="16.5" customHeight="1">
      <c r="A115" s="26" t="s">
        <v>21</v>
      </c>
      <c r="B115" s="27" t="s">
        <v>20</v>
      </c>
      <c r="C115" s="27"/>
      <c r="D115" s="63"/>
      <c r="E115" s="64"/>
      <c r="F115" s="64">
        <f t="shared" si="6"/>
        <v>0</v>
      </c>
      <c r="G115" s="29"/>
      <c r="H115" s="28"/>
      <c r="I115" s="19"/>
      <c r="J115" s="37"/>
    </row>
    <row r="116" spans="1:10" ht="16.5" customHeight="1">
      <c r="A116" s="19" t="s">
        <v>35</v>
      </c>
      <c r="B116" s="19" t="s">
        <v>85</v>
      </c>
      <c r="C116" s="19"/>
      <c r="D116" s="61"/>
      <c r="E116" s="62"/>
      <c r="F116" s="62">
        <f>SUM(F110:F115)</f>
        <v>333.5397034856</v>
      </c>
      <c r="G116" s="14"/>
      <c r="H116" s="13"/>
      <c r="I116" s="19"/>
      <c r="J116" s="37"/>
    </row>
    <row r="117" spans="1:10" ht="16.5" customHeight="1">
      <c r="A117" s="13"/>
      <c r="B117" s="13"/>
      <c r="C117" s="13"/>
      <c r="D117" s="61"/>
      <c r="E117" s="62"/>
      <c r="F117" s="62"/>
      <c r="G117" s="14"/>
      <c r="H117" s="13"/>
      <c r="I117" s="19"/>
      <c r="J117" s="37"/>
    </row>
    <row r="118" spans="1:10" ht="16.5" customHeight="1">
      <c r="A118" s="12"/>
      <c r="B118" s="7" t="s">
        <v>86</v>
      </c>
      <c r="C118" s="7"/>
      <c r="D118" s="61"/>
      <c r="E118" s="62"/>
      <c r="F118" s="62"/>
      <c r="G118" s="14"/>
      <c r="H118" s="13"/>
      <c r="I118" s="19"/>
      <c r="J118" s="37"/>
    </row>
    <row r="119" spans="1:10" ht="16.5" customHeight="1">
      <c r="A119" s="12">
        <f>A$2</f>
        <v>1</v>
      </c>
      <c r="B119" s="13" t="str">
        <f>B$2</f>
        <v>General</v>
      </c>
      <c r="C119" s="13"/>
      <c r="D119" s="61"/>
      <c r="E119" s="62"/>
      <c r="F119" s="62">
        <f>F$8</f>
        <v>119.8</v>
      </c>
      <c r="G119" s="14"/>
      <c r="H119" s="13"/>
      <c r="I119" s="19"/>
      <c r="J119" s="37"/>
    </row>
    <row r="120" spans="1:10" ht="16.5" customHeight="1">
      <c r="A120" s="12">
        <f>A$10</f>
        <v>2</v>
      </c>
      <c r="B120" s="13" t="str">
        <f>B$10</f>
        <v>Powerhouse/Intake</v>
      </c>
      <c r="C120" s="13"/>
      <c r="D120" s="61"/>
      <c r="E120" s="62"/>
      <c r="F120" s="62">
        <f>F$30</f>
        <v>500.74629357000003</v>
      </c>
      <c r="G120" s="14"/>
      <c r="H120" s="13"/>
      <c r="I120" s="19"/>
      <c r="J120" s="37"/>
    </row>
    <row r="121" spans="1:10" ht="16.5" customHeight="1">
      <c r="A121" s="12">
        <f>A$32</f>
        <v>3</v>
      </c>
      <c r="B121" s="13" t="str">
        <f>B$32</f>
        <v>Equipment</v>
      </c>
      <c r="C121" s="13"/>
      <c r="D121" s="61"/>
      <c r="E121" s="62"/>
      <c r="F121" s="62">
        <f>F$39</f>
        <v>558</v>
      </c>
      <c r="G121" s="14"/>
      <c r="H121" s="13"/>
      <c r="I121" s="19"/>
      <c r="J121" s="37"/>
    </row>
    <row r="122" spans="1:10" ht="16.5" hidden="1" customHeight="1">
      <c r="A122" s="43">
        <f>A$41</f>
        <v>4</v>
      </c>
      <c r="B122" s="11" t="str">
        <f>B$41</f>
        <v xml:space="preserve">Spillway </v>
      </c>
      <c r="E122" s="66"/>
      <c r="F122" s="66">
        <f>F$47</f>
        <v>0</v>
      </c>
      <c r="G122" s="44"/>
      <c r="I122" s="19"/>
      <c r="J122" s="37"/>
    </row>
    <row r="123" spans="1:10" ht="16.5" hidden="1" customHeight="1">
      <c r="A123" s="43">
        <f>A$49</f>
        <v>5</v>
      </c>
      <c r="B123" s="11" t="str">
        <f>B$49</f>
        <v>East (left) Dike</v>
      </c>
      <c r="E123" s="66"/>
      <c r="F123" s="66">
        <f>F$56</f>
        <v>0</v>
      </c>
      <c r="G123" s="33"/>
      <c r="I123" s="19"/>
      <c r="J123" s="37"/>
    </row>
    <row r="124" spans="1:10" ht="16.5" hidden="1" customHeight="1">
      <c r="A124" s="43">
        <f>A$58</f>
        <v>5</v>
      </c>
      <c r="B124" s="11" t="str">
        <f>B$58</f>
        <v>West (right) Dike</v>
      </c>
      <c r="E124" s="66"/>
      <c r="F124" s="66">
        <f>F$65</f>
        <v>0</v>
      </c>
      <c r="G124" s="33"/>
      <c r="I124" s="19"/>
      <c r="J124" s="37"/>
    </row>
    <row r="125" spans="1:10" ht="16.5" hidden="1" customHeight="1">
      <c r="A125" s="43">
        <f>A$67</f>
        <v>7</v>
      </c>
      <c r="B125" s="11" t="str">
        <f>B$67</f>
        <v>Canal</v>
      </c>
      <c r="E125" s="66"/>
      <c r="F125" s="66">
        <f>F$73</f>
        <v>0</v>
      </c>
      <c r="G125" s="33"/>
      <c r="I125" s="19"/>
      <c r="J125" s="37"/>
    </row>
    <row r="126" spans="1:10" ht="16.5" customHeight="1">
      <c r="A126" s="43">
        <f>A$75</f>
        <v>8</v>
      </c>
      <c r="B126" s="11" t="str">
        <f>B$75</f>
        <v>PM&amp;E Measures</v>
      </c>
      <c r="E126" s="66"/>
      <c r="F126" s="66">
        <f>F$82</f>
        <v>162.5</v>
      </c>
      <c r="G126" s="33"/>
      <c r="I126" s="19"/>
      <c r="J126" s="37"/>
    </row>
    <row r="127" spans="1:10" ht="16.5" customHeight="1">
      <c r="A127" s="43">
        <f>A$84</f>
        <v>9</v>
      </c>
      <c r="B127" s="176" t="s">
        <v>247</v>
      </c>
      <c r="E127" s="66"/>
      <c r="F127" s="66">
        <f>F$91</f>
        <v>400</v>
      </c>
      <c r="G127" s="33"/>
      <c r="I127" s="19"/>
      <c r="J127" s="37"/>
    </row>
    <row r="128" spans="1:10" ht="16.5" customHeight="1">
      <c r="A128" s="43">
        <f>A$93</f>
        <v>10</v>
      </c>
      <c r="B128" s="11" t="str">
        <f>B$93</f>
        <v>Land &amp; Land Rights</v>
      </c>
      <c r="E128" s="66"/>
      <c r="F128" s="66">
        <f>F$99</f>
        <v>40</v>
      </c>
      <c r="G128" s="33"/>
      <c r="I128" s="19"/>
      <c r="J128" s="37"/>
    </row>
    <row r="129" spans="1:10" ht="16.5" customHeight="1">
      <c r="A129" s="45">
        <f>A$101</f>
        <v>11</v>
      </c>
      <c r="B129" s="46" t="str">
        <f>B$101</f>
        <v>Interconnection</v>
      </c>
      <c r="C129" s="46"/>
      <c r="D129" s="70"/>
      <c r="E129" s="71"/>
      <c r="F129" s="71">
        <f>F$107</f>
        <v>138.19999999999999</v>
      </c>
      <c r="G129" s="47"/>
      <c r="H129" s="183"/>
      <c r="I129" s="19"/>
      <c r="J129" s="37"/>
    </row>
    <row r="130" spans="1:10" ht="16.5" customHeight="1">
      <c r="A130" s="43"/>
      <c r="B130" s="48" t="s">
        <v>87</v>
      </c>
      <c r="C130" s="48"/>
      <c r="E130" s="66"/>
      <c r="F130" s="66">
        <f>SUM(F119:F129)</f>
        <v>1919.24629357</v>
      </c>
      <c r="G130" s="33"/>
      <c r="I130" s="19"/>
      <c r="J130" s="37"/>
    </row>
    <row r="131" spans="1:10" ht="16.5" customHeight="1">
      <c r="A131" s="43"/>
      <c r="B131" s="48"/>
      <c r="C131" s="48"/>
      <c r="E131" s="66"/>
      <c r="F131" s="66"/>
      <c r="G131" s="33"/>
      <c r="I131" s="19"/>
      <c r="J131" s="37"/>
    </row>
    <row r="132" spans="1:10" ht="16.5" customHeight="1">
      <c r="A132" s="45">
        <f>A$109</f>
        <v>12</v>
      </c>
      <c r="B132" s="46" t="str">
        <f>B$109</f>
        <v>Indirect Costs</v>
      </c>
      <c r="C132" s="46"/>
      <c r="D132" s="70"/>
      <c r="E132" s="71"/>
      <c r="F132" s="71">
        <f>F$116</f>
        <v>333.5397034856</v>
      </c>
      <c r="G132" s="47"/>
      <c r="H132" s="46"/>
      <c r="I132" s="19"/>
      <c r="J132" s="37"/>
    </row>
    <row r="133" spans="1:10" ht="16.5" customHeight="1">
      <c r="A133" s="43"/>
      <c r="B133" s="48" t="s">
        <v>88</v>
      </c>
      <c r="C133" s="48"/>
      <c r="E133" s="66"/>
      <c r="F133" s="72">
        <f>F$130+F$132</f>
        <v>2252.7859970556001</v>
      </c>
      <c r="G133" s="49"/>
      <c r="I133" s="19"/>
      <c r="J133" s="37"/>
    </row>
    <row r="134" spans="1:10" ht="16.5" customHeight="1">
      <c r="A134" s="43"/>
      <c r="B134" s="48"/>
      <c r="C134" s="48"/>
      <c r="E134" s="66"/>
      <c r="F134" s="72"/>
      <c r="G134" s="49"/>
      <c r="I134" s="19"/>
      <c r="J134" s="37"/>
    </row>
    <row r="135" spans="1:10" ht="16.5" customHeight="1">
      <c r="A135" s="45">
        <v>13</v>
      </c>
      <c r="B135" s="46" t="s">
        <v>89</v>
      </c>
      <c r="C135" s="46"/>
      <c r="D135" s="73">
        <f>F$133*1000</f>
        <v>2252785.9970555999</v>
      </c>
      <c r="E135" s="245">
        <v>0.2</v>
      </c>
      <c r="F135" s="71">
        <f>D135*E135*0.001</f>
        <v>450.55719941112005</v>
      </c>
      <c r="G135" s="47"/>
      <c r="H135" s="46"/>
      <c r="I135" s="19"/>
      <c r="J135" s="37"/>
    </row>
    <row r="136" spans="1:10" ht="16.5" customHeight="1">
      <c r="E136" s="66"/>
      <c r="F136" s="66"/>
      <c r="G136" s="33"/>
      <c r="I136" s="19"/>
      <c r="J136" s="37"/>
    </row>
    <row r="137" spans="1:10" ht="16.5" customHeight="1">
      <c r="A137" s="12"/>
      <c r="B137" s="50" t="s">
        <v>90</v>
      </c>
      <c r="C137" s="7"/>
      <c r="D137" s="61"/>
      <c r="E137" s="62"/>
      <c r="F137" s="60">
        <f>F$133+F$135</f>
        <v>2703.3431964667202</v>
      </c>
      <c r="G137" s="8"/>
      <c r="H137" s="13"/>
      <c r="I137" s="19"/>
      <c r="J137" s="37"/>
    </row>
    <row r="138" spans="1:10">
      <c r="I138" s="19"/>
      <c r="J138" s="37"/>
    </row>
    <row r="139" spans="1:10">
      <c r="I139" s="19"/>
      <c r="J139" s="37"/>
    </row>
    <row r="140" spans="1:10">
      <c r="I140" s="19"/>
      <c r="J140" s="37"/>
    </row>
    <row r="141" spans="1:10">
      <c r="I141" s="19"/>
      <c r="J141" s="37"/>
    </row>
    <row r="142" spans="1:10">
      <c r="I142" s="19"/>
      <c r="J142" s="37"/>
    </row>
    <row r="143" spans="1:10">
      <c r="I143" s="19"/>
      <c r="J143" s="37"/>
    </row>
    <row r="144" spans="1:10">
      <c r="I144" s="19"/>
      <c r="J144" s="37"/>
    </row>
    <row r="145" spans="9:10">
      <c r="I145" s="19"/>
      <c r="J145" s="37"/>
    </row>
    <row r="146" spans="9:10">
      <c r="I146" s="19"/>
      <c r="J146" s="37"/>
    </row>
    <row r="147" spans="9:10">
      <c r="I147" s="19"/>
      <c r="J147" s="37"/>
    </row>
    <row r="148" spans="9:10">
      <c r="I148" s="19"/>
      <c r="J148" s="37"/>
    </row>
    <row r="149" spans="9:10">
      <c r="I149" s="19"/>
      <c r="J149" s="37"/>
    </row>
    <row r="150" spans="9:10">
      <c r="I150" s="19"/>
      <c r="J150" s="37"/>
    </row>
    <row r="151" spans="9:10">
      <c r="I151" s="19"/>
      <c r="J151" s="37"/>
    </row>
    <row r="152" spans="9:10">
      <c r="I152" s="19"/>
      <c r="J152" s="37"/>
    </row>
    <row r="153" spans="9:10">
      <c r="I153" s="19"/>
      <c r="J153" s="37"/>
    </row>
    <row r="154" spans="9:10">
      <c r="I154" s="19"/>
      <c r="J154" s="37"/>
    </row>
    <row r="155" spans="9:10">
      <c r="I155" s="19"/>
      <c r="J155" s="37"/>
    </row>
    <row r="156" spans="9:10">
      <c r="I156" s="19"/>
      <c r="J156" s="37"/>
    </row>
    <row r="157" spans="9:10">
      <c r="I157" s="19"/>
      <c r="J157" s="37"/>
    </row>
    <row r="158" spans="9:10">
      <c r="I158" s="19"/>
      <c r="J158" s="37"/>
    </row>
    <row r="159" spans="9:10">
      <c r="I159" s="19"/>
      <c r="J159" s="37"/>
    </row>
    <row r="160" spans="9:10">
      <c r="I160" s="19"/>
      <c r="J160" s="37"/>
    </row>
    <row r="161" spans="9:10">
      <c r="I161" s="19"/>
      <c r="J161" s="37"/>
    </row>
    <row r="162" spans="9:10">
      <c r="I162" s="19"/>
      <c r="J162" s="37"/>
    </row>
    <row r="163" spans="9:10">
      <c r="I163" s="19"/>
      <c r="J163" s="37"/>
    </row>
    <row r="164" spans="9:10">
      <c r="I164" s="19"/>
      <c r="J164" s="37"/>
    </row>
    <row r="165" spans="9:10">
      <c r="I165" s="19"/>
      <c r="J165" s="37"/>
    </row>
    <row r="166" spans="9:10">
      <c r="I166" s="19"/>
      <c r="J166" s="37"/>
    </row>
    <row r="167" spans="9:10">
      <c r="I167" s="19"/>
      <c r="J167" s="37"/>
    </row>
    <row r="168" spans="9:10">
      <c r="I168" s="19"/>
      <c r="J168" s="37"/>
    </row>
    <row r="169" spans="9:10">
      <c r="I169" s="19"/>
      <c r="J169" s="37"/>
    </row>
    <row r="170" spans="9:10">
      <c r="I170" s="19"/>
      <c r="J170" s="37"/>
    </row>
    <row r="171" spans="9:10">
      <c r="I171" s="19"/>
      <c r="J171" s="37"/>
    </row>
    <row r="172" spans="9:10">
      <c r="I172" s="19"/>
      <c r="J172" s="37"/>
    </row>
    <row r="173" spans="9:10">
      <c r="I173" s="19"/>
      <c r="J173" s="37"/>
    </row>
    <row r="174" spans="9:10">
      <c r="I174" s="19"/>
      <c r="J174" s="37"/>
    </row>
  </sheetData>
  <mergeCells count="1">
    <mergeCell ref="L3:S11"/>
  </mergeCells>
  <conditionalFormatting sqref="I24:N65536 I3:I5 I17:I22 N12:N22 L3 I7:I15 K18:L22 M20:M22 K5 K8:K15 L12:M15">
    <cfRule type="cellIs" dxfId="8" priority="2" stopIfTrue="1" operator="equal">
      <formula>0</formula>
    </cfRule>
  </conditionalFormatting>
  <conditionalFormatting sqref="L3">
    <cfRule type="cellIs" dxfId="7" priority="1" stopIfTrue="1" operator="equal">
      <formula>0</formula>
    </cfRule>
  </conditionalFormatting>
  <printOptions horizontalCentered="1" gridLines="1"/>
  <pageMargins left="0.75" right="0.75" top="0.63" bottom="0.63" header="0.32" footer="0.45"/>
  <pageSetup scale="61" fitToHeight="2" orientation="portrait" r:id="rId1"/>
  <headerFooter alignWithMargins="0">
    <oddHeader>&amp;L&amp;"Arial,Bold Italic"&amp;11&amp;A&amp;C&amp;"Arial,Bold Italic"&amp;11Ten Mile River Hydro
Phase I Feasibility Study&amp;R&amp;"Arial,Bold Italic"&amp;11For Planning Purposes Only</oddHeader>
    <oddFooter>&amp;L&amp;F&amp;R&amp;G</oddFooter>
  </headerFooter>
  <rowBreaks count="1" manualBreakCount="1">
    <brk id="83" max="7" man="1"/>
  </rowBreaks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theme="5"/>
  </sheetPr>
  <dimension ref="A1:S174"/>
  <sheetViews>
    <sheetView view="pageBreakPreview" topLeftCell="A74" zoomScale="75" zoomScaleNormal="75" zoomScaleSheetLayoutView="75" workbookViewId="0">
      <selection activeCell="H11" sqref="H11"/>
    </sheetView>
  </sheetViews>
  <sheetFormatPr defaultRowHeight="12.75"/>
  <cols>
    <col min="1" max="1" width="4.85546875" style="11" customWidth="1"/>
    <col min="2" max="2" width="32.5703125" style="11" customWidth="1"/>
    <col min="3" max="3" width="9.140625" style="11"/>
    <col min="4" max="4" width="12.42578125" style="69" customWidth="1"/>
    <col min="5" max="5" width="10.5703125" style="69" customWidth="1"/>
    <col min="6" max="6" width="12.85546875" style="69" customWidth="1"/>
    <col min="7" max="7" width="3.140625" style="11" customWidth="1"/>
    <col min="8" max="8" width="60.7109375" style="11" customWidth="1"/>
    <col min="9" max="9" width="4.85546875" style="11" customWidth="1"/>
    <col min="10" max="10" width="12.28515625" style="51" customWidth="1"/>
    <col min="11" max="11" width="12.42578125" style="10" customWidth="1"/>
    <col min="12" max="12" width="12.5703125" style="10" customWidth="1"/>
    <col min="13" max="14" width="9.140625" style="10"/>
    <col min="15" max="16384" width="9.140625" style="11"/>
  </cols>
  <sheetData>
    <row r="1" spans="1:19" ht="25.5">
      <c r="A1" s="7" t="s">
        <v>0</v>
      </c>
      <c r="B1" s="7" t="s">
        <v>1</v>
      </c>
      <c r="C1" s="7" t="s">
        <v>2</v>
      </c>
      <c r="D1" s="12" t="s">
        <v>3</v>
      </c>
      <c r="E1" s="60" t="s">
        <v>4</v>
      </c>
      <c r="F1" s="60" t="s">
        <v>5</v>
      </c>
      <c r="G1" s="8"/>
      <c r="H1" s="7" t="s">
        <v>6</v>
      </c>
      <c r="I1" s="7"/>
      <c r="J1" s="9"/>
      <c r="L1" s="170" t="s">
        <v>270</v>
      </c>
    </row>
    <row r="2" spans="1:19" ht="16.5" customHeight="1">
      <c r="A2" s="12">
        <v>1</v>
      </c>
      <c r="B2" s="7" t="s">
        <v>7</v>
      </c>
      <c r="C2" s="7"/>
      <c r="D2" s="61"/>
      <c r="E2" s="62"/>
      <c r="F2" s="62"/>
      <c r="G2" s="14"/>
      <c r="H2" s="13"/>
      <c r="I2" s="15"/>
      <c r="J2" s="16"/>
      <c r="K2" s="17"/>
      <c r="L2" s="141" t="s">
        <v>228</v>
      </c>
      <c r="M2" s="17"/>
      <c r="N2" s="17"/>
      <c r="O2" s="18"/>
      <c r="P2" s="18"/>
    </row>
    <row r="3" spans="1:19" ht="16.5" customHeight="1">
      <c r="A3" s="19" t="s">
        <v>8</v>
      </c>
      <c r="B3" s="20" t="s">
        <v>9</v>
      </c>
      <c r="C3" s="20"/>
      <c r="D3" s="61">
        <v>1</v>
      </c>
      <c r="E3" s="62">
        <v>25000</v>
      </c>
      <c r="F3" s="62">
        <f>0.001*D3*E3</f>
        <v>25</v>
      </c>
      <c r="G3" s="14"/>
      <c r="H3" s="13" t="s">
        <v>10</v>
      </c>
      <c r="I3" s="21"/>
      <c r="J3" s="22"/>
      <c r="K3" s="17"/>
      <c r="L3" s="374" t="s">
        <v>269</v>
      </c>
      <c r="M3" s="374"/>
      <c r="N3" s="374"/>
      <c r="O3" s="374"/>
      <c r="P3" s="374"/>
      <c r="Q3" s="374"/>
      <c r="R3" s="374"/>
      <c r="S3" s="374"/>
    </row>
    <row r="4" spans="1:19" ht="16.5" customHeight="1">
      <c r="A4" s="19" t="s">
        <v>11</v>
      </c>
      <c r="B4" s="20" t="s">
        <v>12</v>
      </c>
      <c r="C4" s="20"/>
      <c r="D4" s="61">
        <v>1</v>
      </c>
      <c r="E4" s="62">
        <v>10000</v>
      </c>
      <c r="F4" s="62">
        <f>0.001*D4*E4</f>
        <v>10</v>
      </c>
      <c r="G4" s="14"/>
      <c r="H4" s="13" t="s">
        <v>10</v>
      </c>
      <c r="I4" s="21"/>
      <c r="J4" s="22"/>
      <c r="K4" s="17"/>
      <c r="L4" s="374"/>
      <c r="M4" s="374"/>
      <c r="N4" s="374"/>
      <c r="O4" s="374"/>
      <c r="P4" s="374"/>
      <c r="Q4" s="374"/>
      <c r="R4" s="374"/>
      <c r="S4" s="374"/>
    </row>
    <row r="5" spans="1:19" ht="18" customHeight="1">
      <c r="A5" s="19" t="s">
        <v>13</v>
      </c>
      <c r="B5" s="23" t="s">
        <v>14</v>
      </c>
      <c r="C5" s="23" t="s">
        <v>15</v>
      </c>
      <c r="D5" s="61">
        <v>0.5</v>
      </c>
      <c r="E5" s="62">
        <v>8000</v>
      </c>
      <c r="F5" s="62">
        <f>0.001*D5*E5</f>
        <v>4</v>
      </c>
      <c r="G5" s="14"/>
      <c r="H5" s="142" t="s">
        <v>10</v>
      </c>
      <c r="I5" s="21"/>
      <c r="J5" s="22"/>
      <c r="K5" s="17"/>
      <c r="L5" s="374"/>
      <c r="M5" s="374"/>
      <c r="N5" s="374"/>
      <c r="O5" s="374"/>
      <c r="P5" s="374"/>
      <c r="Q5" s="374"/>
      <c r="R5" s="374"/>
      <c r="S5" s="374"/>
    </row>
    <row r="6" spans="1:19" ht="16.5" customHeight="1">
      <c r="A6" s="19" t="s">
        <v>16</v>
      </c>
      <c r="B6" s="23" t="s">
        <v>17</v>
      </c>
      <c r="C6" s="23" t="s">
        <v>18</v>
      </c>
      <c r="D6" s="61">
        <v>100</v>
      </c>
      <c r="E6" s="62">
        <v>10</v>
      </c>
      <c r="F6" s="62">
        <f>0.001*D6*E6</f>
        <v>1</v>
      </c>
      <c r="G6" s="14"/>
      <c r="H6" s="142" t="s">
        <v>10</v>
      </c>
      <c r="I6" s="18"/>
      <c r="J6" s="24"/>
      <c r="K6" s="25"/>
      <c r="L6" s="374"/>
      <c r="M6" s="374"/>
      <c r="N6" s="374"/>
      <c r="O6" s="374"/>
      <c r="P6" s="374"/>
      <c r="Q6" s="374"/>
      <c r="R6" s="374"/>
      <c r="S6" s="374"/>
    </row>
    <row r="7" spans="1:19" ht="16.5" customHeight="1">
      <c r="A7" s="26" t="s">
        <v>19</v>
      </c>
      <c r="B7" s="27" t="s">
        <v>151</v>
      </c>
      <c r="C7" s="27"/>
      <c r="D7" s="184">
        <v>1</v>
      </c>
      <c r="E7" s="242">
        <f>'Phase I Dam Repairs'!D2*1000</f>
        <v>20000</v>
      </c>
      <c r="F7" s="242">
        <f>0.001*D7*E7</f>
        <v>20</v>
      </c>
      <c r="G7" s="193"/>
      <c r="H7" s="238" t="s">
        <v>265</v>
      </c>
      <c r="I7" s="21"/>
      <c r="J7" s="22"/>
      <c r="K7" s="30"/>
      <c r="L7" s="30"/>
      <c r="M7" s="30"/>
      <c r="N7" s="17"/>
      <c r="O7" s="18"/>
      <c r="P7" s="18"/>
    </row>
    <row r="8" spans="1:19" ht="16.5" customHeight="1">
      <c r="A8" s="19" t="s">
        <v>21</v>
      </c>
      <c r="B8" s="19" t="s">
        <v>22</v>
      </c>
      <c r="C8" s="19"/>
      <c r="D8" s="61"/>
      <c r="E8" s="62"/>
      <c r="F8" s="62">
        <f>SUM(F2:F7)</f>
        <v>60</v>
      </c>
      <c r="G8" s="14"/>
      <c r="H8" s="13"/>
      <c r="I8" s="21"/>
      <c r="J8" s="22"/>
      <c r="K8" s="31"/>
      <c r="L8" s="31"/>
      <c r="M8" s="30"/>
      <c r="N8" s="17"/>
      <c r="O8" s="18"/>
      <c r="P8" s="18"/>
    </row>
    <row r="9" spans="1:19" ht="16.5" customHeight="1">
      <c r="A9" s="19"/>
      <c r="B9" s="13"/>
      <c r="C9" s="13"/>
      <c r="D9" s="61"/>
      <c r="E9" s="62"/>
      <c r="F9" s="62"/>
      <c r="G9" s="14"/>
      <c r="H9" s="13"/>
      <c r="I9" s="21"/>
      <c r="J9" s="22"/>
      <c r="K9" s="31"/>
      <c r="L9" s="31"/>
      <c r="M9" s="30"/>
      <c r="N9" s="17"/>
      <c r="O9" s="18"/>
      <c r="P9" s="18"/>
    </row>
    <row r="10" spans="1:19" ht="16.5" customHeight="1">
      <c r="A10" s="12">
        <v>2</v>
      </c>
      <c r="B10" s="7" t="s">
        <v>130</v>
      </c>
      <c r="C10" s="7"/>
      <c r="D10" s="65"/>
      <c r="E10" s="62"/>
      <c r="F10" s="62"/>
      <c r="G10" s="14"/>
      <c r="H10" s="13"/>
      <c r="I10" s="21"/>
      <c r="J10" s="22"/>
      <c r="K10" s="31"/>
      <c r="L10" s="31"/>
      <c r="M10" s="31"/>
      <c r="N10" s="17"/>
      <c r="O10" s="18"/>
      <c r="P10" s="18"/>
    </row>
    <row r="11" spans="1:19" ht="16.5" customHeight="1">
      <c r="A11" s="19" t="s">
        <v>8</v>
      </c>
      <c r="B11" s="20" t="s">
        <v>114</v>
      </c>
      <c r="C11" s="32"/>
      <c r="D11" s="66"/>
      <c r="E11" s="62"/>
      <c r="F11" s="62">
        <v>100</v>
      </c>
      <c r="G11" s="14"/>
      <c r="H11" s="13" t="s">
        <v>10</v>
      </c>
      <c r="I11" s="21"/>
      <c r="J11" s="22"/>
      <c r="K11" s="31"/>
      <c r="L11" s="31"/>
      <c r="M11" s="31"/>
      <c r="N11" s="17"/>
      <c r="O11" s="18"/>
      <c r="P11" s="18"/>
    </row>
    <row r="12" spans="1:19" ht="16.5" customHeight="1">
      <c r="A12" s="19" t="s">
        <v>11</v>
      </c>
      <c r="B12" s="194" t="s">
        <v>376</v>
      </c>
      <c r="C12" s="32"/>
      <c r="D12" s="66"/>
      <c r="E12" s="62"/>
      <c r="F12" s="62">
        <v>10</v>
      </c>
      <c r="G12" s="14"/>
      <c r="H12" s="13" t="s">
        <v>10</v>
      </c>
      <c r="I12" s="21"/>
      <c r="J12" s="22"/>
      <c r="K12" s="31"/>
      <c r="L12" s="31"/>
      <c r="M12" s="31"/>
      <c r="N12" s="17"/>
      <c r="O12" s="18"/>
      <c r="P12" s="18"/>
    </row>
    <row r="13" spans="1:19" ht="16.5" customHeight="1">
      <c r="A13" s="19" t="s">
        <v>13</v>
      </c>
      <c r="B13" s="194" t="s">
        <v>318</v>
      </c>
      <c r="C13" s="20"/>
      <c r="D13" s="66">
        <v>1</v>
      </c>
      <c r="E13" s="62">
        <f>'Pwrhse Cost Estimator'!D30</f>
        <v>677586.02465811581</v>
      </c>
      <c r="F13" s="62">
        <f t="shared" ref="F13:F29" si="0">0.001*D13*E13</f>
        <v>677.58602465811578</v>
      </c>
      <c r="G13" s="14"/>
      <c r="H13" s="142" t="s">
        <v>377</v>
      </c>
      <c r="I13" s="21"/>
      <c r="J13" s="22"/>
      <c r="K13" s="31"/>
      <c r="L13" s="31"/>
      <c r="M13" s="31"/>
      <c r="N13" s="17"/>
      <c r="O13" s="18"/>
      <c r="P13" s="18"/>
    </row>
    <row r="14" spans="1:19" ht="16.5" hidden="1" customHeight="1">
      <c r="A14" s="19" t="s">
        <v>25</v>
      </c>
      <c r="B14" s="34" t="s">
        <v>26</v>
      </c>
      <c r="C14" s="23" t="s">
        <v>27</v>
      </c>
      <c r="D14" s="173">
        <v>0</v>
      </c>
      <c r="E14" s="171">
        <v>25</v>
      </c>
      <c r="F14" s="62">
        <f t="shared" si="0"/>
        <v>0</v>
      </c>
      <c r="G14" s="14"/>
      <c r="H14" s="143" t="s">
        <v>253</v>
      </c>
      <c r="I14" s="21"/>
      <c r="J14" s="22"/>
      <c r="K14" s="17"/>
      <c r="L14" s="17"/>
      <c r="M14" s="17"/>
      <c r="N14" s="17"/>
      <c r="O14" s="18"/>
      <c r="P14" s="18"/>
    </row>
    <row r="15" spans="1:19" ht="27.75" hidden="1" customHeight="1">
      <c r="A15" s="19" t="s">
        <v>28</v>
      </c>
      <c r="B15" s="35" t="s">
        <v>29</v>
      </c>
      <c r="C15" s="23" t="s">
        <v>27</v>
      </c>
      <c r="D15" s="174">
        <v>0</v>
      </c>
      <c r="E15" s="62">
        <v>100</v>
      </c>
      <c r="F15" s="62">
        <f t="shared" si="0"/>
        <v>0</v>
      </c>
      <c r="G15" s="14"/>
      <c r="H15" s="143" t="s">
        <v>253</v>
      </c>
      <c r="I15" s="21"/>
      <c r="J15" s="22"/>
      <c r="K15" s="17"/>
      <c r="L15" s="17"/>
      <c r="M15" s="17"/>
      <c r="N15" s="17"/>
      <c r="O15" s="18"/>
      <c r="P15" s="18"/>
    </row>
    <row r="16" spans="1:19" ht="16.5" hidden="1" customHeight="1">
      <c r="A16" s="19" t="s">
        <v>30</v>
      </c>
      <c r="B16" s="35" t="s">
        <v>31</v>
      </c>
      <c r="C16" s="23" t="s">
        <v>27</v>
      </c>
      <c r="D16" s="174">
        <v>0</v>
      </c>
      <c r="E16" s="62">
        <v>100</v>
      </c>
      <c r="F16" s="62">
        <f t="shared" si="0"/>
        <v>0</v>
      </c>
      <c r="G16" s="14"/>
      <c r="H16" s="143" t="s">
        <v>253</v>
      </c>
      <c r="I16" s="18"/>
      <c r="J16" s="24"/>
      <c r="K16" s="25"/>
      <c r="L16" s="25"/>
      <c r="M16" s="25"/>
      <c r="N16" s="17"/>
      <c r="O16" s="18"/>
      <c r="P16" s="18"/>
    </row>
    <row r="17" spans="1:16" ht="16.5" hidden="1" customHeight="1">
      <c r="A17" s="21" t="s">
        <v>16</v>
      </c>
      <c r="B17" s="23" t="s">
        <v>32</v>
      </c>
      <c r="C17" s="23"/>
      <c r="D17" s="67">
        <v>0</v>
      </c>
      <c r="E17" s="62">
        <v>10000</v>
      </c>
      <c r="F17" s="62">
        <f t="shared" si="0"/>
        <v>0</v>
      </c>
      <c r="G17" s="14"/>
      <c r="H17" s="13" t="s">
        <v>10</v>
      </c>
      <c r="I17" s="21"/>
      <c r="J17" s="22"/>
      <c r="K17" s="30"/>
      <c r="L17" s="30"/>
      <c r="M17" s="30"/>
      <c r="N17" s="17"/>
      <c r="O17" s="18"/>
      <c r="P17" s="18"/>
    </row>
    <row r="18" spans="1:16" ht="16.5" hidden="1" customHeight="1">
      <c r="A18" s="19" t="s">
        <v>19</v>
      </c>
      <c r="B18" s="23" t="s">
        <v>33</v>
      </c>
      <c r="C18" s="23" t="s">
        <v>34</v>
      </c>
      <c r="D18" s="67">
        <v>0</v>
      </c>
      <c r="E18" s="62">
        <v>1000</v>
      </c>
      <c r="F18" s="62">
        <f t="shared" si="0"/>
        <v>0</v>
      </c>
      <c r="G18" s="14"/>
      <c r="H18" s="36" t="s">
        <v>156</v>
      </c>
      <c r="I18" s="21"/>
      <c r="J18" s="22"/>
      <c r="K18" s="31"/>
      <c r="L18" s="31"/>
      <c r="M18" s="30"/>
      <c r="N18" s="17"/>
      <c r="O18" s="18"/>
      <c r="P18" s="18"/>
    </row>
    <row r="19" spans="1:16" ht="16.5" hidden="1" customHeight="1">
      <c r="A19" s="19" t="s">
        <v>21</v>
      </c>
      <c r="B19" s="23" t="s">
        <v>57</v>
      </c>
      <c r="C19" s="23" t="s">
        <v>27</v>
      </c>
      <c r="D19" s="175">
        <v>0</v>
      </c>
      <c r="E19" s="62">
        <v>750</v>
      </c>
      <c r="F19" s="62">
        <f t="shared" si="0"/>
        <v>0</v>
      </c>
      <c r="G19" s="14"/>
      <c r="H19" s="13" t="s">
        <v>10</v>
      </c>
      <c r="I19" s="21"/>
      <c r="J19" s="22"/>
      <c r="K19" s="31"/>
      <c r="L19" s="31"/>
      <c r="M19" s="30"/>
      <c r="N19" s="17"/>
      <c r="O19" s="18"/>
      <c r="P19" s="18"/>
    </row>
    <row r="20" spans="1:16" ht="16.5" hidden="1" customHeight="1">
      <c r="A20" s="19" t="s">
        <v>35</v>
      </c>
      <c r="B20" s="23" t="s">
        <v>124</v>
      </c>
      <c r="C20" s="23" t="s">
        <v>23</v>
      </c>
      <c r="D20" s="174">
        <v>0</v>
      </c>
      <c r="E20" s="62">
        <v>100</v>
      </c>
      <c r="F20" s="62">
        <f t="shared" si="0"/>
        <v>0</v>
      </c>
      <c r="G20" s="14"/>
      <c r="H20" s="143" t="s">
        <v>253</v>
      </c>
      <c r="I20" s="21"/>
      <c r="J20" s="22"/>
      <c r="K20" s="31"/>
      <c r="L20" s="31"/>
      <c r="M20" s="31"/>
      <c r="N20" s="17"/>
      <c r="O20" s="18"/>
      <c r="P20" s="18"/>
    </row>
    <row r="21" spans="1:16" ht="16.5" hidden="1" customHeight="1">
      <c r="A21" s="19" t="s">
        <v>36</v>
      </c>
      <c r="B21" s="20" t="s">
        <v>37</v>
      </c>
      <c r="C21" s="32" t="s">
        <v>23</v>
      </c>
      <c r="D21" s="173">
        <v>0</v>
      </c>
      <c r="E21" s="62">
        <v>400</v>
      </c>
      <c r="F21" s="62">
        <f t="shared" si="0"/>
        <v>0</v>
      </c>
      <c r="G21" s="14"/>
      <c r="H21" s="143" t="s">
        <v>252</v>
      </c>
      <c r="I21" s="21"/>
      <c r="J21" s="22"/>
      <c r="K21" s="31"/>
      <c r="L21" s="31"/>
      <c r="M21" s="31"/>
      <c r="N21" s="17"/>
      <c r="O21" s="18"/>
      <c r="P21" s="18"/>
    </row>
    <row r="22" spans="1:16" ht="16.5" hidden="1" customHeight="1">
      <c r="A22" s="19" t="s">
        <v>25</v>
      </c>
      <c r="B22" s="20" t="s">
        <v>38</v>
      </c>
      <c r="C22" s="32"/>
      <c r="D22" s="66">
        <v>0</v>
      </c>
      <c r="E22" s="62">
        <v>150000</v>
      </c>
      <c r="F22" s="62">
        <f t="shared" si="0"/>
        <v>0</v>
      </c>
      <c r="G22" s="14"/>
      <c r="H22" s="36" t="s">
        <v>159</v>
      </c>
      <c r="I22" s="21"/>
      <c r="J22" s="22"/>
      <c r="K22" s="31"/>
      <c r="L22" s="31"/>
      <c r="M22" s="31"/>
      <c r="N22" s="17"/>
      <c r="O22" s="18"/>
      <c r="P22" s="18"/>
    </row>
    <row r="23" spans="1:16" ht="16.5" hidden="1" customHeight="1">
      <c r="A23" s="19" t="s">
        <v>39</v>
      </c>
      <c r="B23" s="23" t="s">
        <v>160</v>
      </c>
      <c r="C23" s="20"/>
      <c r="D23" s="61">
        <v>0</v>
      </c>
      <c r="E23" s="62">
        <v>15000</v>
      </c>
      <c r="F23" s="62">
        <f t="shared" si="0"/>
        <v>0</v>
      </c>
      <c r="G23" s="14"/>
      <c r="H23" s="36" t="s">
        <v>10</v>
      </c>
      <c r="J23" s="11"/>
      <c r="K23" s="11"/>
      <c r="L23" s="11"/>
      <c r="M23" s="11"/>
      <c r="N23" s="11"/>
    </row>
    <row r="24" spans="1:16" ht="16.5" customHeight="1">
      <c r="A24" s="19" t="s">
        <v>40</v>
      </c>
      <c r="B24" s="20" t="s">
        <v>129</v>
      </c>
      <c r="C24" s="20"/>
      <c r="D24" s="61">
        <v>1</v>
      </c>
      <c r="E24" s="62">
        <v>20000</v>
      </c>
      <c r="F24" s="62">
        <f t="shared" si="0"/>
        <v>20</v>
      </c>
      <c r="G24" s="14"/>
      <c r="H24" s="13"/>
      <c r="I24" s="19"/>
      <c r="J24" s="37"/>
    </row>
    <row r="25" spans="1:16" ht="16.5" customHeight="1">
      <c r="A25" s="19" t="s">
        <v>41</v>
      </c>
      <c r="B25" s="20" t="s">
        <v>42</v>
      </c>
      <c r="C25" s="20"/>
      <c r="D25" s="61">
        <v>1</v>
      </c>
      <c r="E25" s="62">
        <v>5000</v>
      </c>
      <c r="F25" s="62">
        <f t="shared" si="0"/>
        <v>5</v>
      </c>
      <c r="G25" s="14"/>
      <c r="H25" s="13" t="s">
        <v>10</v>
      </c>
      <c r="I25" s="19"/>
      <c r="J25" s="37"/>
    </row>
    <row r="26" spans="1:16" ht="16.5" customHeight="1">
      <c r="A26" s="19" t="s">
        <v>43</v>
      </c>
      <c r="B26" s="20" t="s">
        <v>44</v>
      </c>
      <c r="C26" s="20"/>
      <c r="D26" s="61">
        <v>1</v>
      </c>
      <c r="E26" s="239">
        <v>10000</v>
      </c>
      <c r="F26" s="239">
        <f t="shared" si="0"/>
        <v>10</v>
      </c>
      <c r="G26" s="240"/>
      <c r="H26" s="142" t="s">
        <v>10</v>
      </c>
      <c r="I26" s="19"/>
      <c r="J26" s="37"/>
    </row>
    <row r="27" spans="1:16" ht="19.5" customHeight="1">
      <c r="A27" s="19" t="s">
        <v>45</v>
      </c>
      <c r="B27" s="20" t="s">
        <v>46</v>
      </c>
      <c r="C27" s="20"/>
      <c r="D27" s="61">
        <v>1</v>
      </c>
      <c r="E27" s="239">
        <v>10000</v>
      </c>
      <c r="F27" s="239">
        <f t="shared" si="0"/>
        <v>10</v>
      </c>
      <c r="G27" s="240"/>
      <c r="H27" s="142" t="s">
        <v>10</v>
      </c>
      <c r="I27" s="19"/>
      <c r="J27" s="37"/>
    </row>
    <row r="28" spans="1:16">
      <c r="A28" s="19" t="s">
        <v>47</v>
      </c>
      <c r="B28" s="20" t="s">
        <v>48</v>
      </c>
      <c r="C28" s="20"/>
      <c r="D28" s="61">
        <v>1</v>
      </c>
      <c r="E28" s="62">
        <v>5000</v>
      </c>
      <c r="F28" s="62">
        <f t="shared" si="0"/>
        <v>5</v>
      </c>
      <c r="G28" s="14"/>
      <c r="H28" s="13" t="s">
        <v>10</v>
      </c>
      <c r="I28" s="19"/>
      <c r="J28" s="37"/>
    </row>
    <row r="29" spans="1:16" ht="16.5" customHeight="1">
      <c r="A29" s="26" t="s">
        <v>49</v>
      </c>
      <c r="B29" s="192" t="s">
        <v>20</v>
      </c>
      <c r="C29" s="27"/>
      <c r="D29" s="68"/>
      <c r="E29" s="64"/>
      <c r="F29" s="64">
        <f t="shared" si="0"/>
        <v>0</v>
      </c>
      <c r="G29" s="29"/>
      <c r="H29" s="238"/>
      <c r="I29" s="19"/>
      <c r="J29" s="37"/>
    </row>
    <row r="30" spans="1:16">
      <c r="A30" s="19" t="s">
        <v>50</v>
      </c>
      <c r="B30" s="264" t="s">
        <v>385</v>
      </c>
      <c r="C30" s="19"/>
      <c r="D30" s="61"/>
      <c r="E30" s="62"/>
      <c r="F30" s="62">
        <f>SUM(F11:F29)</f>
        <v>837.58602465811578</v>
      </c>
      <c r="G30" s="14"/>
      <c r="H30" s="13"/>
      <c r="I30" s="19"/>
      <c r="J30" s="37"/>
    </row>
    <row r="31" spans="1:16" ht="16.5" customHeight="1">
      <c r="A31" s="19"/>
      <c r="B31" s="13"/>
      <c r="C31" s="13"/>
      <c r="D31" s="61"/>
      <c r="E31" s="62"/>
      <c r="F31" s="62"/>
      <c r="G31" s="14"/>
      <c r="H31" s="13"/>
      <c r="I31" s="19"/>
      <c r="J31" s="37"/>
    </row>
    <row r="32" spans="1:16" ht="16.5" customHeight="1">
      <c r="A32" s="12">
        <v>3</v>
      </c>
      <c r="B32" s="7" t="s">
        <v>52</v>
      </c>
      <c r="C32" s="7"/>
      <c r="D32" s="61"/>
      <c r="E32" s="62"/>
      <c r="F32" s="62"/>
      <c r="G32" s="14"/>
      <c r="H32" s="13"/>
      <c r="I32" s="19"/>
      <c r="J32" s="37"/>
    </row>
    <row r="33" spans="1:10">
      <c r="A33" s="19" t="s">
        <v>8</v>
      </c>
      <c r="B33" s="194" t="s">
        <v>319</v>
      </c>
      <c r="C33" s="20"/>
      <c r="D33" s="61">
        <v>1</v>
      </c>
      <c r="E33" s="62">
        <f>'TG Costs'!D29</f>
        <v>701857.76</v>
      </c>
      <c r="F33" s="62">
        <f t="shared" ref="F33:F38" si="1">0.001*D33*E33</f>
        <v>701.85775999999998</v>
      </c>
      <c r="G33" s="14"/>
      <c r="H33" s="142" t="s">
        <v>387</v>
      </c>
      <c r="I33" s="19"/>
      <c r="J33" s="37"/>
    </row>
    <row r="34" spans="1:10" ht="20.25" customHeight="1">
      <c r="A34" s="19" t="s">
        <v>11</v>
      </c>
      <c r="B34" s="23" t="s">
        <v>161</v>
      </c>
      <c r="C34" s="20"/>
      <c r="D34" s="61">
        <v>1</v>
      </c>
      <c r="E34" s="62">
        <f>SUM(F33,F35:F38)*1000*0.2</f>
        <v>163371.55200000003</v>
      </c>
      <c r="F34" s="62">
        <f t="shared" si="1"/>
        <v>163.37155200000004</v>
      </c>
      <c r="G34" s="14"/>
      <c r="H34" s="36" t="s">
        <v>162</v>
      </c>
      <c r="I34" s="19"/>
      <c r="J34" s="37"/>
    </row>
    <row r="35" spans="1:10" ht="16.5" customHeight="1">
      <c r="A35" s="19" t="s">
        <v>13</v>
      </c>
      <c r="B35" s="20" t="s">
        <v>53</v>
      </c>
      <c r="C35" s="20"/>
      <c r="D35" s="191">
        <v>1</v>
      </c>
      <c r="E35" s="239">
        <f>'Interconnect Costs'!O10</f>
        <v>20000</v>
      </c>
      <c r="F35" s="239">
        <f t="shared" si="1"/>
        <v>20</v>
      </c>
      <c r="G35" s="240"/>
      <c r="H35" s="142" t="s">
        <v>266</v>
      </c>
      <c r="I35" s="19"/>
      <c r="J35" s="37"/>
    </row>
    <row r="36" spans="1:10" ht="16.5" customHeight="1">
      <c r="A36" s="19" t="s">
        <v>16</v>
      </c>
      <c r="B36" s="194" t="s">
        <v>320</v>
      </c>
      <c r="C36" s="20"/>
      <c r="D36" s="191">
        <v>1</v>
      </c>
      <c r="E36" s="239">
        <v>50000</v>
      </c>
      <c r="F36" s="239">
        <f t="shared" si="1"/>
        <v>50</v>
      </c>
      <c r="G36" s="240"/>
      <c r="H36" s="142" t="s">
        <v>384</v>
      </c>
      <c r="I36" s="19"/>
      <c r="J36" s="37"/>
    </row>
    <row r="37" spans="1:10">
      <c r="A37" s="19" t="s">
        <v>19</v>
      </c>
      <c r="B37" s="20" t="s">
        <v>55</v>
      </c>
      <c r="C37" s="20"/>
      <c r="D37" s="191">
        <v>1</v>
      </c>
      <c r="E37" s="239">
        <v>20000</v>
      </c>
      <c r="F37" s="239">
        <f t="shared" si="1"/>
        <v>20</v>
      </c>
      <c r="G37" s="240"/>
      <c r="H37" s="142" t="s">
        <v>10</v>
      </c>
      <c r="I37" s="19"/>
      <c r="J37" s="37"/>
    </row>
    <row r="38" spans="1:10" ht="16.5" customHeight="1">
      <c r="A38" s="26" t="s">
        <v>21</v>
      </c>
      <c r="B38" s="192" t="s">
        <v>321</v>
      </c>
      <c r="C38" s="27"/>
      <c r="D38" s="184">
        <v>1</v>
      </c>
      <c r="E38" s="64">
        <v>25000</v>
      </c>
      <c r="F38" s="64">
        <f t="shared" si="1"/>
        <v>25</v>
      </c>
      <c r="G38" s="29"/>
      <c r="H38" s="238" t="s">
        <v>10</v>
      </c>
      <c r="I38" s="19"/>
      <c r="J38" s="37"/>
    </row>
    <row r="39" spans="1:10" ht="16.5" customHeight="1">
      <c r="A39" s="19" t="s">
        <v>35</v>
      </c>
      <c r="B39" s="19" t="s">
        <v>56</v>
      </c>
      <c r="C39" s="19"/>
      <c r="D39" s="61"/>
      <c r="E39" s="62"/>
      <c r="F39" s="62">
        <f>SUM(F33:F38)</f>
        <v>980.22931200000005</v>
      </c>
      <c r="G39" s="14"/>
      <c r="H39" s="13"/>
      <c r="I39" s="19"/>
      <c r="J39" s="37"/>
    </row>
    <row r="40" spans="1:10" ht="16.5" hidden="1" customHeight="1">
      <c r="A40" s="19"/>
      <c r="B40" s="13"/>
      <c r="C40" s="13"/>
      <c r="D40" s="61"/>
      <c r="E40" s="62"/>
      <c r="F40" s="62"/>
      <c r="G40" s="14"/>
      <c r="H40" s="13"/>
      <c r="I40" s="19"/>
      <c r="J40" s="37"/>
    </row>
    <row r="41" spans="1:10" ht="16.5" hidden="1" customHeight="1">
      <c r="A41" s="12">
        <v>4</v>
      </c>
      <c r="B41" s="7" t="s">
        <v>132</v>
      </c>
      <c r="C41" s="7"/>
      <c r="D41" s="61"/>
      <c r="E41" s="62"/>
      <c r="F41" s="62"/>
      <c r="G41" s="14"/>
      <c r="H41" s="13"/>
      <c r="I41" s="19"/>
      <c r="J41" s="37"/>
    </row>
    <row r="42" spans="1:10" ht="16.5" hidden="1" customHeight="1">
      <c r="A42" s="19" t="s">
        <v>8</v>
      </c>
      <c r="B42" s="20" t="s">
        <v>133</v>
      </c>
      <c r="C42" s="23" t="s">
        <v>23</v>
      </c>
      <c r="D42" s="61"/>
      <c r="E42" s="62">
        <v>40</v>
      </c>
      <c r="F42" s="62">
        <f>0.001*D42*E42</f>
        <v>0</v>
      </c>
      <c r="G42" s="14"/>
      <c r="H42" s="13" t="s">
        <v>10</v>
      </c>
      <c r="I42" s="19"/>
      <c r="J42" s="37"/>
    </row>
    <row r="43" spans="1:10" ht="16.5" hidden="1" customHeight="1">
      <c r="A43" s="19" t="s">
        <v>11</v>
      </c>
      <c r="B43" s="20" t="s">
        <v>24</v>
      </c>
      <c r="C43" s="23" t="s">
        <v>27</v>
      </c>
      <c r="D43" s="61"/>
      <c r="E43" s="62">
        <v>15</v>
      </c>
      <c r="F43" s="62">
        <f>0.001*D43*E43</f>
        <v>0</v>
      </c>
      <c r="G43" s="14"/>
      <c r="H43" s="13" t="s">
        <v>10</v>
      </c>
      <c r="I43" s="19"/>
      <c r="J43" s="37"/>
    </row>
    <row r="44" spans="1:10" ht="16.5" hidden="1" customHeight="1">
      <c r="A44" s="19" t="s">
        <v>13</v>
      </c>
      <c r="B44" s="20" t="s">
        <v>134</v>
      </c>
      <c r="C44" s="23" t="s">
        <v>27</v>
      </c>
      <c r="D44" s="61"/>
      <c r="E44" s="62">
        <v>450</v>
      </c>
      <c r="F44" s="62">
        <f>0.001*D44*E44</f>
        <v>0</v>
      </c>
      <c r="G44" s="14"/>
      <c r="H44" s="13" t="s">
        <v>10</v>
      </c>
      <c r="I44" s="19"/>
      <c r="J44" s="37"/>
    </row>
    <row r="45" spans="1:10" hidden="1">
      <c r="A45" s="19" t="s">
        <v>16</v>
      </c>
      <c r="B45" s="20" t="s">
        <v>135</v>
      </c>
      <c r="C45" s="20"/>
      <c r="D45" s="61"/>
      <c r="E45" s="62"/>
      <c r="F45" s="62">
        <f>0.001*D45*E45</f>
        <v>0</v>
      </c>
      <c r="G45" s="14"/>
      <c r="H45" s="36"/>
      <c r="I45" s="19"/>
      <c r="J45" s="37"/>
    </row>
    <row r="46" spans="1:10" ht="16.5" hidden="1" customHeight="1">
      <c r="A46" s="26" t="s">
        <v>19</v>
      </c>
      <c r="B46" s="27" t="s">
        <v>20</v>
      </c>
      <c r="C46" s="27"/>
      <c r="D46" s="63"/>
      <c r="E46" s="64"/>
      <c r="F46" s="64">
        <f>0.001*D46*E46</f>
        <v>0</v>
      </c>
      <c r="G46" s="29"/>
      <c r="H46" s="28"/>
      <c r="I46" s="19"/>
      <c r="J46" s="37"/>
    </row>
    <row r="47" spans="1:10" ht="16.5" hidden="1" customHeight="1">
      <c r="A47" s="19" t="s">
        <v>21</v>
      </c>
      <c r="B47" s="19" t="s">
        <v>136</v>
      </c>
      <c r="C47" s="19"/>
      <c r="D47" s="61"/>
      <c r="E47" s="62"/>
      <c r="F47" s="62">
        <f>SUM(F42:F46)</f>
        <v>0</v>
      </c>
      <c r="G47" s="14"/>
      <c r="H47" s="13"/>
      <c r="I47" s="19"/>
      <c r="J47" s="37"/>
    </row>
    <row r="48" spans="1:10" ht="16.5" hidden="1" customHeight="1">
      <c r="A48" s="19"/>
      <c r="B48" s="13"/>
      <c r="C48" s="13"/>
      <c r="D48" s="61"/>
      <c r="E48" s="62"/>
      <c r="F48" s="62"/>
      <c r="G48" s="14"/>
      <c r="H48" s="13"/>
      <c r="I48" s="19"/>
      <c r="J48" s="37"/>
    </row>
    <row r="49" spans="1:10" ht="16.5" hidden="1" customHeight="1">
      <c r="A49" s="12">
        <v>5</v>
      </c>
      <c r="B49" s="7" t="s">
        <v>137</v>
      </c>
      <c r="C49" s="7"/>
      <c r="D49" s="61"/>
      <c r="E49" s="62"/>
      <c r="F49" s="62"/>
      <c r="G49" s="14"/>
      <c r="H49" s="13"/>
      <c r="I49" s="19"/>
      <c r="J49" s="37"/>
    </row>
    <row r="50" spans="1:10" ht="16.5" hidden="1" customHeight="1">
      <c r="A50" s="39" t="s">
        <v>8</v>
      </c>
      <c r="B50" s="40" t="s">
        <v>138</v>
      </c>
      <c r="C50" s="40"/>
      <c r="D50" s="61"/>
      <c r="E50" s="62">
        <v>1000</v>
      </c>
      <c r="F50" s="62">
        <f t="shared" ref="F50:F55" si="2">0.001*D50*E50</f>
        <v>0</v>
      </c>
      <c r="G50" s="14"/>
      <c r="H50" s="13" t="s">
        <v>10</v>
      </c>
      <c r="I50" s="19"/>
      <c r="J50" s="37"/>
    </row>
    <row r="51" spans="1:10" ht="16.5" hidden="1" customHeight="1">
      <c r="A51" s="39" t="s">
        <v>11</v>
      </c>
      <c r="B51" s="23" t="s">
        <v>17</v>
      </c>
      <c r="C51" s="23" t="s">
        <v>18</v>
      </c>
      <c r="D51" s="61"/>
      <c r="E51" s="62">
        <v>5</v>
      </c>
      <c r="F51" s="62">
        <f t="shared" si="2"/>
        <v>0</v>
      </c>
      <c r="G51" s="14"/>
      <c r="H51" s="13" t="s">
        <v>139</v>
      </c>
      <c r="I51" s="19"/>
      <c r="J51" s="37"/>
    </row>
    <row r="52" spans="1:10" ht="16.5" hidden="1" customHeight="1">
      <c r="A52" s="19" t="s">
        <v>13</v>
      </c>
      <c r="B52" s="41" t="s">
        <v>140</v>
      </c>
      <c r="C52" s="40" t="s">
        <v>15</v>
      </c>
      <c r="D52" s="61"/>
      <c r="E52" s="62">
        <v>6201</v>
      </c>
      <c r="F52" s="62">
        <f t="shared" si="2"/>
        <v>0</v>
      </c>
      <c r="G52" s="14"/>
      <c r="H52" s="13" t="s">
        <v>10</v>
      </c>
      <c r="I52" s="19"/>
      <c r="J52" s="37"/>
    </row>
    <row r="53" spans="1:10" ht="16.5" hidden="1" customHeight="1">
      <c r="A53" s="19" t="s">
        <v>16</v>
      </c>
      <c r="B53" s="41" t="s">
        <v>24</v>
      </c>
      <c r="C53" s="41" t="s">
        <v>27</v>
      </c>
      <c r="D53" s="67"/>
      <c r="E53" s="62">
        <v>15</v>
      </c>
      <c r="F53" s="62">
        <f t="shared" si="2"/>
        <v>0</v>
      </c>
      <c r="G53" s="14"/>
      <c r="H53" s="13" t="s">
        <v>139</v>
      </c>
      <c r="I53" s="19"/>
      <c r="J53" s="37"/>
    </row>
    <row r="54" spans="1:10" ht="16.5" hidden="1" customHeight="1">
      <c r="A54" s="19" t="s">
        <v>19</v>
      </c>
      <c r="B54" s="41" t="s">
        <v>141</v>
      </c>
      <c r="C54" s="41" t="s">
        <v>27</v>
      </c>
      <c r="D54" s="67"/>
      <c r="E54" s="62">
        <v>40</v>
      </c>
      <c r="F54" s="62">
        <f t="shared" si="2"/>
        <v>0</v>
      </c>
      <c r="G54" s="14"/>
      <c r="H54" s="13" t="s">
        <v>139</v>
      </c>
      <c r="I54" s="19"/>
      <c r="J54" s="37"/>
    </row>
    <row r="55" spans="1:10" ht="16.5" hidden="1" customHeight="1">
      <c r="A55" s="26" t="s">
        <v>21</v>
      </c>
      <c r="B55" s="27" t="s">
        <v>20</v>
      </c>
      <c r="C55" s="27"/>
      <c r="D55" s="63"/>
      <c r="E55" s="64"/>
      <c r="F55" s="64">
        <f t="shared" si="2"/>
        <v>0</v>
      </c>
      <c r="G55" s="29"/>
      <c r="H55" s="28"/>
      <c r="I55" s="19"/>
      <c r="J55" s="37"/>
    </row>
    <row r="56" spans="1:10" ht="16.5" hidden="1" customHeight="1">
      <c r="A56" s="19" t="s">
        <v>35</v>
      </c>
      <c r="B56" s="21" t="s">
        <v>142</v>
      </c>
      <c r="C56" s="21"/>
      <c r="D56" s="61"/>
      <c r="E56" s="62"/>
      <c r="F56" s="62">
        <f>SUM(F50:F55)</f>
        <v>0</v>
      </c>
      <c r="G56" s="14"/>
      <c r="H56" s="13"/>
      <c r="I56" s="19"/>
      <c r="J56" s="37"/>
    </row>
    <row r="57" spans="1:10" ht="16.5" hidden="1" customHeight="1">
      <c r="A57" s="19"/>
      <c r="B57" s="13"/>
      <c r="C57" s="13"/>
      <c r="D57" s="61"/>
      <c r="E57" s="62"/>
      <c r="F57" s="62"/>
      <c r="G57" s="14"/>
      <c r="H57" s="13"/>
      <c r="I57" s="19"/>
      <c r="J57" s="37"/>
    </row>
    <row r="58" spans="1:10" hidden="1">
      <c r="A58" s="12">
        <v>5</v>
      </c>
      <c r="B58" s="7" t="s">
        <v>143</v>
      </c>
      <c r="C58" s="7"/>
      <c r="D58" s="61"/>
      <c r="E58" s="62"/>
      <c r="F58" s="62"/>
      <c r="G58" s="14"/>
      <c r="H58" s="13"/>
      <c r="I58" s="19"/>
      <c r="J58" s="37"/>
    </row>
    <row r="59" spans="1:10" ht="16.5" hidden="1" customHeight="1">
      <c r="A59" s="39" t="s">
        <v>8</v>
      </c>
      <c r="B59" s="40" t="s">
        <v>138</v>
      </c>
      <c r="C59" s="40"/>
      <c r="D59" s="61"/>
      <c r="E59" s="62">
        <v>1000</v>
      </c>
      <c r="F59" s="62">
        <f t="shared" ref="F59:F64" si="3">0.001*D59*E59</f>
        <v>0</v>
      </c>
      <c r="G59" s="14"/>
      <c r="H59" s="13" t="s">
        <v>10</v>
      </c>
      <c r="I59" s="19"/>
      <c r="J59" s="37"/>
    </row>
    <row r="60" spans="1:10" ht="16.5" hidden="1" customHeight="1">
      <c r="A60" s="39" t="s">
        <v>11</v>
      </c>
      <c r="B60" s="23" t="s">
        <v>17</v>
      </c>
      <c r="C60" s="23" t="s">
        <v>18</v>
      </c>
      <c r="D60" s="61"/>
      <c r="E60" s="62">
        <v>5</v>
      </c>
      <c r="F60" s="62">
        <f t="shared" si="3"/>
        <v>0</v>
      </c>
      <c r="G60" s="14"/>
      <c r="H60" s="13" t="s">
        <v>139</v>
      </c>
      <c r="I60" s="19"/>
      <c r="J60" s="37"/>
    </row>
    <row r="61" spans="1:10" ht="16.5" hidden="1" customHeight="1">
      <c r="A61" s="19" t="s">
        <v>13</v>
      </c>
      <c r="B61" s="41" t="s">
        <v>140</v>
      </c>
      <c r="C61" s="40" t="s">
        <v>15</v>
      </c>
      <c r="D61" s="61"/>
      <c r="E61" s="62">
        <v>6201</v>
      </c>
      <c r="F61" s="62">
        <f t="shared" si="3"/>
        <v>0</v>
      </c>
      <c r="G61" s="14"/>
      <c r="H61" s="13" t="s">
        <v>10</v>
      </c>
      <c r="I61" s="19"/>
      <c r="J61" s="37"/>
    </row>
    <row r="62" spans="1:10" ht="16.5" hidden="1" customHeight="1">
      <c r="A62" s="19" t="s">
        <v>16</v>
      </c>
      <c r="B62" s="41" t="s">
        <v>24</v>
      </c>
      <c r="C62" s="41" t="s">
        <v>27</v>
      </c>
      <c r="D62" s="67"/>
      <c r="E62" s="62">
        <v>15</v>
      </c>
      <c r="F62" s="62">
        <f t="shared" si="3"/>
        <v>0</v>
      </c>
      <c r="G62" s="14"/>
      <c r="H62" s="13" t="s">
        <v>139</v>
      </c>
      <c r="I62" s="19"/>
      <c r="J62" s="37"/>
    </row>
    <row r="63" spans="1:10" hidden="1">
      <c r="A63" s="19" t="s">
        <v>19</v>
      </c>
      <c r="B63" s="41" t="s">
        <v>141</v>
      </c>
      <c r="C63" s="41" t="s">
        <v>27</v>
      </c>
      <c r="D63" s="67"/>
      <c r="E63" s="62">
        <v>40</v>
      </c>
      <c r="F63" s="62">
        <f t="shared" si="3"/>
        <v>0</v>
      </c>
      <c r="G63" s="14"/>
      <c r="H63" s="13" t="s">
        <v>139</v>
      </c>
      <c r="I63" s="19"/>
      <c r="J63" s="37"/>
    </row>
    <row r="64" spans="1:10" ht="16.5" hidden="1" customHeight="1">
      <c r="A64" s="26" t="s">
        <v>21</v>
      </c>
      <c r="B64" s="27" t="s">
        <v>20</v>
      </c>
      <c r="C64" s="27"/>
      <c r="D64" s="63"/>
      <c r="E64" s="64"/>
      <c r="F64" s="64">
        <f t="shared" si="3"/>
        <v>0</v>
      </c>
      <c r="G64" s="29"/>
      <c r="H64" s="28"/>
      <c r="I64" s="19"/>
      <c r="J64" s="37"/>
    </row>
    <row r="65" spans="1:10" ht="16.5" hidden="1" customHeight="1">
      <c r="A65" s="19" t="s">
        <v>35</v>
      </c>
      <c r="B65" s="21" t="s">
        <v>144</v>
      </c>
      <c r="C65" s="21"/>
      <c r="D65" s="61"/>
      <c r="E65" s="62"/>
      <c r="F65" s="62">
        <f>SUM(F59:F64)</f>
        <v>0</v>
      </c>
      <c r="G65" s="14"/>
      <c r="H65" s="13"/>
      <c r="I65" s="19"/>
      <c r="J65" s="37"/>
    </row>
    <row r="66" spans="1:10" ht="16.5" hidden="1" customHeight="1">
      <c r="A66" s="19"/>
      <c r="B66" s="13"/>
      <c r="C66" s="13"/>
      <c r="D66" s="61"/>
      <c r="E66" s="62"/>
      <c r="F66" s="62"/>
      <c r="G66" s="14"/>
      <c r="H66" s="13"/>
      <c r="I66" s="19"/>
      <c r="J66" s="37"/>
    </row>
    <row r="67" spans="1:10" ht="16.5" hidden="1" customHeight="1">
      <c r="A67" s="12">
        <v>7</v>
      </c>
      <c r="B67" s="7" t="s">
        <v>145</v>
      </c>
      <c r="C67" s="7"/>
      <c r="D67" s="61"/>
      <c r="E67" s="62"/>
      <c r="F67" s="62"/>
      <c r="G67" s="14"/>
      <c r="H67" s="13"/>
      <c r="I67" s="19"/>
      <c r="J67" s="37"/>
    </row>
    <row r="68" spans="1:10" ht="16.5" hidden="1" customHeight="1">
      <c r="A68" s="19" t="s">
        <v>8</v>
      </c>
      <c r="B68" s="41" t="s">
        <v>140</v>
      </c>
      <c r="C68" s="41" t="s">
        <v>15</v>
      </c>
      <c r="D68" s="61"/>
      <c r="E68" s="62">
        <v>6200</v>
      </c>
      <c r="F68" s="62">
        <f>0.001*D68*E68</f>
        <v>0</v>
      </c>
      <c r="G68" s="14"/>
      <c r="H68" s="13" t="s">
        <v>10</v>
      </c>
      <c r="I68" s="19"/>
      <c r="J68" s="37"/>
    </row>
    <row r="69" spans="1:10" ht="16.5" hidden="1" customHeight="1">
      <c r="A69" s="19" t="s">
        <v>11</v>
      </c>
      <c r="B69" s="40" t="s">
        <v>24</v>
      </c>
      <c r="C69" s="40" t="s">
        <v>27</v>
      </c>
      <c r="D69" s="67"/>
      <c r="E69" s="62">
        <v>20</v>
      </c>
      <c r="F69" s="62">
        <f>0.001*D69*E69</f>
        <v>0</v>
      </c>
      <c r="G69" s="14"/>
      <c r="H69" s="13" t="s">
        <v>146</v>
      </c>
      <c r="I69" s="19"/>
      <c r="J69" s="37"/>
    </row>
    <row r="70" spans="1:10" hidden="1">
      <c r="A70" s="19" t="s">
        <v>13</v>
      </c>
      <c r="B70" s="20" t="s">
        <v>147</v>
      </c>
      <c r="C70" s="20" t="s">
        <v>27</v>
      </c>
      <c r="D70" s="67"/>
      <c r="E70" s="62">
        <v>40</v>
      </c>
      <c r="F70" s="62">
        <f>0.001*D70*E70</f>
        <v>0</v>
      </c>
      <c r="G70" s="14"/>
      <c r="H70" s="13" t="s">
        <v>146</v>
      </c>
      <c r="I70" s="19"/>
      <c r="J70" s="37"/>
    </row>
    <row r="71" spans="1:10" ht="16.5" hidden="1" customHeight="1">
      <c r="A71" s="19" t="s">
        <v>16</v>
      </c>
      <c r="B71" s="20" t="s">
        <v>57</v>
      </c>
      <c r="C71" s="20" t="s">
        <v>27</v>
      </c>
      <c r="D71" s="61"/>
      <c r="E71" s="62">
        <v>450</v>
      </c>
      <c r="F71" s="62">
        <f>0.001*D71*E71</f>
        <v>0</v>
      </c>
      <c r="G71" s="14"/>
      <c r="H71" s="13" t="s">
        <v>10</v>
      </c>
      <c r="I71" s="19"/>
      <c r="J71" s="37"/>
    </row>
    <row r="72" spans="1:10" ht="16.5" hidden="1" customHeight="1">
      <c r="A72" s="26" t="s">
        <v>16</v>
      </c>
      <c r="B72" s="27" t="s">
        <v>20</v>
      </c>
      <c r="C72" s="27"/>
      <c r="D72" s="63"/>
      <c r="E72" s="64"/>
      <c r="F72" s="64">
        <f>0.001*D72*E72</f>
        <v>0</v>
      </c>
      <c r="G72" s="29"/>
      <c r="H72" s="28"/>
      <c r="I72" s="19"/>
      <c r="J72" s="37"/>
    </row>
    <row r="73" spans="1:10" ht="16.5" hidden="1" customHeight="1">
      <c r="A73" s="19" t="s">
        <v>19</v>
      </c>
      <c r="B73" s="39" t="s">
        <v>148</v>
      </c>
      <c r="C73" s="19"/>
      <c r="D73" s="61"/>
      <c r="E73" s="62"/>
      <c r="F73" s="62">
        <f>SUM(F68:F72)</f>
        <v>0</v>
      </c>
      <c r="G73" s="14"/>
      <c r="H73" s="13"/>
      <c r="I73" s="19"/>
      <c r="J73" s="37"/>
    </row>
    <row r="74" spans="1:10" ht="16.5" customHeight="1">
      <c r="A74" s="19"/>
      <c r="B74" s="13"/>
      <c r="C74" s="13"/>
      <c r="D74" s="61"/>
      <c r="E74" s="62"/>
      <c r="F74" s="62"/>
      <c r="G74" s="14"/>
      <c r="H74" s="13"/>
      <c r="I74" s="19"/>
      <c r="J74" s="37"/>
    </row>
    <row r="75" spans="1:10" ht="16.5" customHeight="1">
      <c r="A75" s="12">
        <v>8</v>
      </c>
      <c r="B75" s="7" t="s">
        <v>58</v>
      </c>
      <c r="C75" s="7"/>
      <c r="D75" s="61"/>
      <c r="E75" s="62"/>
      <c r="F75" s="62"/>
      <c r="G75" s="14"/>
      <c r="H75" s="13"/>
      <c r="I75" s="19"/>
      <c r="J75" s="37"/>
    </row>
    <row r="76" spans="1:10" ht="16.5" customHeight="1">
      <c r="A76" s="19" t="s">
        <v>8</v>
      </c>
      <c r="B76" s="23" t="s">
        <v>163</v>
      </c>
      <c r="C76" s="20"/>
      <c r="D76" s="61">
        <v>1</v>
      </c>
      <c r="E76" s="239">
        <v>20000</v>
      </c>
      <c r="F76" s="239">
        <f t="shared" ref="F76:F81" si="4">0.001*D76*E76</f>
        <v>20</v>
      </c>
      <c r="G76" s="240"/>
      <c r="H76" s="142" t="s">
        <v>10</v>
      </c>
      <c r="I76" s="19"/>
      <c r="J76" s="37"/>
    </row>
    <row r="77" spans="1:10" ht="16.5" customHeight="1">
      <c r="A77" s="19" t="s">
        <v>11</v>
      </c>
      <c r="B77" s="20" t="s">
        <v>59</v>
      </c>
      <c r="C77" s="20"/>
      <c r="D77" s="191">
        <v>0</v>
      </c>
      <c r="E77" s="239">
        <v>20000</v>
      </c>
      <c r="F77" s="239">
        <f t="shared" si="4"/>
        <v>0</v>
      </c>
      <c r="G77" s="240"/>
      <c r="H77" s="142" t="s">
        <v>245</v>
      </c>
      <c r="I77" s="19"/>
      <c r="J77" s="37"/>
    </row>
    <row r="78" spans="1:10" ht="16.5" customHeight="1">
      <c r="A78" s="19" t="s">
        <v>13</v>
      </c>
      <c r="B78" s="20" t="s">
        <v>60</v>
      </c>
      <c r="C78" s="20"/>
      <c r="D78" s="61">
        <v>0</v>
      </c>
      <c r="E78" s="62">
        <v>5000</v>
      </c>
      <c r="F78" s="62">
        <f t="shared" si="4"/>
        <v>0</v>
      </c>
      <c r="G78" s="14"/>
      <c r="H78" s="142" t="s">
        <v>378</v>
      </c>
      <c r="I78" s="19"/>
      <c r="J78" s="37"/>
    </row>
    <row r="79" spans="1:10" ht="16.5" customHeight="1">
      <c r="A79" s="39" t="s">
        <v>16</v>
      </c>
      <c r="B79" s="23" t="s">
        <v>61</v>
      </c>
      <c r="C79" s="23" t="s">
        <v>15</v>
      </c>
      <c r="D79" s="191">
        <v>0.5</v>
      </c>
      <c r="E79" s="239">
        <v>60000</v>
      </c>
      <c r="F79" s="239">
        <f t="shared" si="4"/>
        <v>30</v>
      </c>
      <c r="G79" s="240"/>
      <c r="H79" s="142" t="s">
        <v>10</v>
      </c>
      <c r="I79" s="19"/>
      <c r="J79" s="37"/>
    </row>
    <row r="80" spans="1:10" ht="16.5" customHeight="1">
      <c r="A80" s="39" t="s">
        <v>19</v>
      </c>
      <c r="B80" s="20" t="s">
        <v>62</v>
      </c>
      <c r="C80" s="20"/>
      <c r="D80" s="61">
        <v>1</v>
      </c>
      <c r="E80" s="62">
        <v>20000</v>
      </c>
      <c r="F80" s="62">
        <f t="shared" si="4"/>
        <v>20</v>
      </c>
      <c r="G80" s="14"/>
      <c r="H80" s="13" t="s">
        <v>10</v>
      </c>
      <c r="I80" s="19"/>
      <c r="J80" s="37"/>
    </row>
    <row r="81" spans="1:10" ht="16.5" customHeight="1">
      <c r="A81" s="42" t="s">
        <v>21</v>
      </c>
      <c r="B81" s="27" t="s">
        <v>149</v>
      </c>
      <c r="C81" s="27"/>
      <c r="D81" s="63">
        <v>1</v>
      </c>
      <c r="E81" s="64">
        <v>7500</v>
      </c>
      <c r="F81" s="64">
        <f t="shared" si="4"/>
        <v>7.5</v>
      </c>
      <c r="G81" s="29"/>
      <c r="H81" s="28" t="s">
        <v>10</v>
      </c>
      <c r="I81" s="19"/>
      <c r="J81" s="37"/>
    </row>
    <row r="82" spans="1:10" ht="16.5" customHeight="1">
      <c r="A82" s="39" t="s">
        <v>35</v>
      </c>
      <c r="B82" s="39" t="s">
        <v>63</v>
      </c>
      <c r="C82" s="13"/>
      <c r="D82" s="61"/>
      <c r="E82" s="62"/>
      <c r="F82" s="62">
        <f>SUM(F76:F81)</f>
        <v>77.5</v>
      </c>
      <c r="G82" s="14"/>
      <c r="H82" s="13"/>
      <c r="I82" s="19"/>
      <c r="J82" s="37"/>
    </row>
    <row r="83" spans="1:10" ht="16.5" customHeight="1">
      <c r="A83" s="19"/>
      <c r="B83" s="13"/>
      <c r="C83" s="13"/>
      <c r="D83" s="61"/>
      <c r="E83" s="62"/>
      <c r="F83" s="62"/>
      <c r="G83" s="14"/>
      <c r="H83" s="13"/>
      <c r="I83" s="19"/>
      <c r="J83" s="37"/>
    </row>
    <row r="84" spans="1:10" ht="16.5" customHeight="1">
      <c r="A84" s="12">
        <v>9</v>
      </c>
      <c r="B84" s="7" t="s">
        <v>247</v>
      </c>
      <c r="C84" s="7"/>
      <c r="D84" s="61"/>
      <c r="E84" s="62"/>
      <c r="F84" s="62"/>
      <c r="G84" s="14"/>
      <c r="H84" s="13"/>
      <c r="I84" s="19"/>
      <c r="J84" s="37"/>
    </row>
    <row r="85" spans="1:10" ht="16.5" customHeight="1">
      <c r="A85" s="19" t="s">
        <v>8</v>
      </c>
      <c r="B85" s="172" t="s">
        <v>248</v>
      </c>
      <c r="C85" s="41" t="s">
        <v>64</v>
      </c>
      <c r="D85" s="191">
        <v>2</v>
      </c>
      <c r="E85" s="239">
        <v>50000</v>
      </c>
      <c r="F85" s="239">
        <f t="shared" ref="F85:F90" si="5">0.001*D85*E85</f>
        <v>100</v>
      </c>
      <c r="G85" s="240"/>
      <c r="H85" s="142" t="s">
        <v>10</v>
      </c>
      <c r="I85" s="19"/>
      <c r="J85" s="37"/>
    </row>
    <row r="86" spans="1:10" ht="16.5" customHeight="1">
      <c r="A86" s="19" t="s">
        <v>11</v>
      </c>
      <c r="B86" s="41" t="s">
        <v>65</v>
      </c>
      <c r="C86" s="41" t="s">
        <v>64</v>
      </c>
      <c r="D86" s="191">
        <v>0.5</v>
      </c>
      <c r="E86" s="239">
        <v>75000</v>
      </c>
      <c r="F86" s="239">
        <f t="shared" si="5"/>
        <v>37.5</v>
      </c>
      <c r="G86" s="240"/>
      <c r="H86" s="142" t="s">
        <v>10</v>
      </c>
      <c r="I86" s="19"/>
      <c r="J86" s="37"/>
    </row>
    <row r="87" spans="1:10" ht="16.5" customHeight="1">
      <c r="A87" s="19" t="s">
        <v>13</v>
      </c>
      <c r="B87" s="172" t="s">
        <v>249</v>
      </c>
      <c r="C87" s="41"/>
      <c r="D87" s="191">
        <v>1</v>
      </c>
      <c r="E87" s="239">
        <v>50000</v>
      </c>
      <c r="F87" s="239">
        <f t="shared" si="5"/>
        <v>50</v>
      </c>
      <c r="G87" s="240"/>
      <c r="H87" s="142" t="s">
        <v>10</v>
      </c>
      <c r="I87" s="19"/>
      <c r="J87" s="37"/>
    </row>
    <row r="88" spans="1:10">
      <c r="A88" s="19" t="s">
        <v>16</v>
      </c>
      <c r="B88" s="172" t="s">
        <v>250</v>
      </c>
      <c r="C88" s="41"/>
      <c r="D88" s="191">
        <v>1</v>
      </c>
      <c r="E88" s="239">
        <v>25000</v>
      </c>
      <c r="F88" s="239">
        <f t="shared" si="5"/>
        <v>25</v>
      </c>
      <c r="G88" s="240"/>
      <c r="H88" s="142" t="s">
        <v>10</v>
      </c>
      <c r="I88" s="19"/>
      <c r="J88" s="37"/>
    </row>
    <row r="89" spans="1:10" ht="16.5" customHeight="1">
      <c r="A89" s="19" t="s">
        <v>19</v>
      </c>
      <c r="B89" s="41" t="s">
        <v>66</v>
      </c>
      <c r="C89" s="41"/>
      <c r="D89" s="191">
        <v>1</v>
      </c>
      <c r="E89" s="239">
        <v>25000</v>
      </c>
      <c r="F89" s="239">
        <f t="shared" si="5"/>
        <v>25</v>
      </c>
      <c r="G89" s="240"/>
      <c r="H89" s="142" t="s">
        <v>10</v>
      </c>
      <c r="I89" s="19"/>
      <c r="J89" s="37"/>
    </row>
    <row r="90" spans="1:10" ht="16.5" customHeight="1">
      <c r="A90" s="26" t="s">
        <v>21</v>
      </c>
      <c r="B90" s="192" t="s">
        <v>251</v>
      </c>
      <c r="C90" s="27"/>
      <c r="D90" s="184">
        <v>1</v>
      </c>
      <c r="E90" s="242">
        <v>50000</v>
      </c>
      <c r="F90" s="242">
        <f t="shared" si="5"/>
        <v>50</v>
      </c>
      <c r="G90" s="243"/>
      <c r="H90" s="238" t="s">
        <v>268</v>
      </c>
      <c r="I90" s="19"/>
      <c r="J90" s="37"/>
    </row>
    <row r="91" spans="1:10" ht="16.5" customHeight="1">
      <c r="A91" s="19" t="s">
        <v>35</v>
      </c>
      <c r="B91" s="185" t="s">
        <v>322</v>
      </c>
      <c r="C91" s="21"/>
      <c r="D91" s="61"/>
      <c r="E91" s="62"/>
      <c r="F91" s="62">
        <f>SUM(F85:F90)</f>
        <v>287.5</v>
      </c>
      <c r="G91" s="14"/>
      <c r="H91" s="13"/>
      <c r="I91" s="19"/>
      <c r="J91" s="37"/>
    </row>
    <row r="92" spans="1:10" ht="16.5" customHeight="1">
      <c r="A92" s="19"/>
      <c r="B92" s="13"/>
      <c r="C92" s="13"/>
      <c r="D92" s="61"/>
      <c r="E92" s="62"/>
      <c r="F92" s="62"/>
      <c r="G92" s="14"/>
      <c r="H92" s="13"/>
      <c r="I92" s="19"/>
      <c r="J92" s="37"/>
    </row>
    <row r="93" spans="1:10" ht="16.5" customHeight="1">
      <c r="A93" s="12">
        <v>10</v>
      </c>
      <c r="B93" s="7" t="s">
        <v>67</v>
      </c>
      <c r="C93" s="7"/>
      <c r="D93" s="61"/>
      <c r="E93" s="62"/>
      <c r="F93" s="62"/>
      <c r="G93" s="14"/>
      <c r="H93" s="13"/>
      <c r="I93" s="19"/>
      <c r="J93" s="37"/>
    </row>
    <row r="94" spans="1:10" ht="16.5" customHeight="1">
      <c r="A94" s="19" t="s">
        <v>8</v>
      </c>
      <c r="B94" s="41" t="s">
        <v>68</v>
      </c>
      <c r="C94" s="41"/>
      <c r="D94" s="69">
        <v>1</v>
      </c>
      <c r="E94" s="66">
        <v>5000</v>
      </c>
      <c r="F94" s="62">
        <f>0.001*D94*E94</f>
        <v>5</v>
      </c>
      <c r="G94" s="14"/>
      <c r="H94" s="13" t="s">
        <v>10</v>
      </c>
      <c r="I94" s="19"/>
      <c r="J94" s="37"/>
    </row>
    <row r="95" spans="1:10">
      <c r="A95" s="19" t="s">
        <v>11</v>
      </c>
      <c r="B95" s="41" t="s">
        <v>69</v>
      </c>
      <c r="C95" s="41"/>
      <c r="D95" s="246">
        <v>1</v>
      </c>
      <c r="E95" s="247"/>
      <c r="F95" s="239">
        <f>0.001*D95*E95</f>
        <v>0</v>
      </c>
      <c r="G95" s="240"/>
      <c r="H95" s="176"/>
      <c r="I95" s="19"/>
      <c r="J95" s="37"/>
    </row>
    <row r="96" spans="1:10" ht="16.5" customHeight="1">
      <c r="A96" s="19" t="s">
        <v>13</v>
      </c>
      <c r="B96" s="41" t="s">
        <v>70</v>
      </c>
      <c r="C96" s="41"/>
      <c r="D96" s="69">
        <v>1</v>
      </c>
      <c r="E96" s="66">
        <v>5000</v>
      </c>
      <c r="F96" s="62">
        <f>0.001*D96*E96</f>
        <v>5</v>
      </c>
      <c r="G96" s="14"/>
      <c r="H96" s="13" t="s">
        <v>10</v>
      </c>
      <c r="I96" s="19"/>
      <c r="J96" s="37"/>
    </row>
    <row r="97" spans="1:10" ht="15.75" customHeight="1">
      <c r="A97" s="19" t="s">
        <v>16</v>
      </c>
      <c r="B97" s="41" t="s">
        <v>71</v>
      </c>
      <c r="C97" s="41"/>
      <c r="D97" s="69">
        <v>1</v>
      </c>
      <c r="E97" s="66">
        <v>10000</v>
      </c>
      <c r="F97" s="62">
        <f>0.001*D97*E97</f>
        <v>10</v>
      </c>
      <c r="G97" s="14"/>
      <c r="H97" s="13" t="s">
        <v>10</v>
      </c>
      <c r="I97" s="19"/>
      <c r="J97" s="37"/>
    </row>
    <row r="98" spans="1:10" ht="16.5" customHeight="1">
      <c r="A98" s="26" t="s">
        <v>19</v>
      </c>
      <c r="B98" s="27" t="s">
        <v>20</v>
      </c>
      <c r="C98" s="27"/>
      <c r="D98" s="63"/>
      <c r="E98" s="64"/>
      <c r="F98" s="64">
        <f>0.001*D98*E98</f>
        <v>0</v>
      </c>
      <c r="G98" s="29"/>
      <c r="H98" s="28"/>
      <c r="I98" s="19"/>
      <c r="J98" s="37"/>
    </row>
    <row r="99" spans="1:10" ht="16.5" customHeight="1">
      <c r="A99" s="19" t="s">
        <v>21</v>
      </c>
      <c r="B99" s="39" t="s">
        <v>72</v>
      </c>
      <c r="C99" s="39"/>
      <c r="D99" s="61"/>
      <c r="E99" s="62"/>
      <c r="F99" s="62">
        <f>SUM(F94:F98)</f>
        <v>20</v>
      </c>
      <c r="G99" s="14"/>
      <c r="H99" s="13"/>
      <c r="I99" s="19"/>
      <c r="J99" s="37"/>
    </row>
    <row r="100" spans="1:10" ht="16.5" customHeight="1">
      <c r="A100" s="13"/>
      <c r="B100" s="13"/>
      <c r="C100" s="13"/>
      <c r="D100" s="61"/>
      <c r="E100" s="62"/>
      <c r="F100" s="62"/>
      <c r="G100" s="14"/>
      <c r="H100" s="13"/>
      <c r="I100" s="19"/>
      <c r="J100" s="37"/>
    </row>
    <row r="101" spans="1:10" ht="16.5" customHeight="1">
      <c r="A101" s="12">
        <v>11</v>
      </c>
      <c r="B101" s="7" t="s">
        <v>73</v>
      </c>
      <c r="C101" s="7"/>
      <c r="D101" s="61"/>
      <c r="E101" s="62"/>
      <c r="F101" s="62"/>
      <c r="G101" s="14"/>
      <c r="H101" s="13"/>
      <c r="I101" s="19"/>
      <c r="J101" s="37"/>
    </row>
    <row r="102" spans="1:10" ht="16.5" customHeight="1">
      <c r="A102" s="19" t="s">
        <v>8</v>
      </c>
      <c r="B102" s="20" t="s">
        <v>14</v>
      </c>
      <c r="C102" s="20" t="s">
        <v>15</v>
      </c>
      <c r="D102" s="191">
        <v>0.5</v>
      </c>
      <c r="E102" s="239">
        <v>8000</v>
      </c>
      <c r="F102" s="239">
        <f>0.001*D102*E102</f>
        <v>4</v>
      </c>
      <c r="G102" s="240"/>
      <c r="H102" s="142" t="s">
        <v>10</v>
      </c>
      <c r="I102" s="19"/>
      <c r="J102" s="37"/>
    </row>
    <row r="103" spans="1:10" ht="16.5" customHeight="1">
      <c r="A103" s="19" t="s">
        <v>11</v>
      </c>
      <c r="B103" s="20" t="s">
        <v>74</v>
      </c>
      <c r="C103" s="20"/>
      <c r="D103" s="191">
        <v>1</v>
      </c>
      <c r="E103" s="239">
        <f>'Interconnect Costs'!O6</f>
        <v>15000</v>
      </c>
      <c r="F103" s="239">
        <f>0.001*D103*E103</f>
        <v>15</v>
      </c>
      <c r="G103" s="240"/>
      <c r="H103" s="142" t="s">
        <v>266</v>
      </c>
      <c r="I103" s="19"/>
      <c r="J103" s="37"/>
    </row>
    <row r="104" spans="1:10" ht="16.5" customHeight="1">
      <c r="A104" s="19" t="s">
        <v>13</v>
      </c>
      <c r="B104" s="20" t="s">
        <v>75</v>
      </c>
      <c r="C104" s="20"/>
      <c r="D104" s="191">
        <v>1</v>
      </c>
      <c r="E104" s="239">
        <v>10000</v>
      </c>
      <c r="F104" s="239">
        <f>0.001*D104*E104</f>
        <v>10</v>
      </c>
      <c r="G104" s="240"/>
      <c r="H104" s="142" t="s">
        <v>10</v>
      </c>
      <c r="I104" s="19"/>
      <c r="J104" s="37"/>
    </row>
    <row r="105" spans="1:10" ht="24.75" customHeight="1">
      <c r="A105" s="19" t="s">
        <v>13</v>
      </c>
      <c r="B105" s="20" t="s">
        <v>76</v>
      </c>
      <c r="C105" s="20"/>
      <c r="D105" s="191">
        <v>1</v>
      </c>
      <c r="E105" s="239">
        <f>'Interconnect Costs'!O7+'Interconnect Costs'!O8+'Interconnect Costs'!O9</f>
        <v>50000</v>
      </c>
      <c r="F105" s="239">
        <f>0.001*D105*E105</f>
        <v>50</v>
      </c>
      <c r="G105" s="240"/>
      <c r="H105" s="142" t="s">
        <v>267</v>
      </c>
      <c r="I105" s="19"/>
      <c r="J105" s="37"/>
    </row>
    <row r="106" spans="1:10" ht="16.5" customHeight="1">
      <c r="A106" s="26" t="s">
        <v>16</v>
      </c>
      <c r="B106" s="192" t="s">
        <v>248</v>
      </c>
      <c r="C106" s="27"/>
      <c r="D106" s="184">
        <v>1</v>
      </c>
      <c r="E106" s="242">
        <v>20000</v>
      </c>
      <c r="F106" s="242">
        <f>0.001*D106*E106</f>
        <v>20</v>
      </c>
      <c r="G106" s="243"/>
      <c r="H106" s="238" t="s">
        <v>10</v>
      </c>
      <c r="I106" s="19"/>
      <c r="J106" s="37"/>
    </row>
    <row r="107" spans="1:10">
      <c r="A107" s="19" t="s">
        <v>21</v>
      </c>
      <c r="B107" s="19" t="s">
        <v>77</v>
      </c>
      <c r="C107" s="19"/>
      <c r="D107" s="191"/>
      <c r="E107" s="239"/>
      <c r="F107" s="239">
        <f>SUM(F102:F106)</f>
        <v>99</v>
      </c>
      <c r="G107" s="240"/>
      <c r="H107" s="142"/>
      <c r="I107" s="19"/>
      <c r="J107" s="37"/>
    </row>
    <row r="108" spans="1:10" ht="16.5" customHeight="1">
      <c r="A108" s="13"/>
      <c r="B108" s="13"/>
      <c r="C108" s="13"/>
      <c r="D108" s="61"/>
      <c r="E108" s="62"/>
      <c r="F108" s="62"/>
      <c r="G108" s="14"/>
      <c r="H108" s="13"/>
      <c r="I108" s="19"/>
      <c r="J108" s="37"/>
    </row>
    <row r="109" spans="1:10" ht="16.5" customHeight="1">
      <c r="A109" s="12">
        <v>12</v>
      </c>
      <c r="B109" s="7" t="s">
        <v>78</v>
      </c>
      <c r="C109" s="7"/>
      <c r="D109" s="61"/>
      <c r="E109" s="62"/>
      <c r="F109" s="62"/>
      <c r="G109" s="14"/>
      <c r="H109" s="13"/>
      <c r="I109" s="19"/>
      <c r="J109" s="37"/>
    </row>
    <row r="110" spans="1:10" ht="16.5" customHeight="1">
      <c r="A110" s="19" t="s">
        <v>8</v>
      </c>
      <c r="B110" s="20" t="s">
        <v>79</v>
      </c>
      <c r="C110" s="20"/>
      <c r="D110" s="61">
        <v>1</v>
      </c>
      <c r="E110" s="62">
        <f>F130*1000*0.08</f>
        <v>188945.22693264927</v>
      </c>
      <c r="F110" s="62">
        <f t="shared" ref="F110:F115" si="6">0.001*D110*E110</f>
        <v>188.94522693264926</v>
      </c>
      <c r="G110" s="14"/>
      <c r="H110" s="36" t="s">
        <v>164</v>
      </c>
      <c r="I110" s="19"/>
      <c r="J110" s="37"/>
    </row>
    <row r="111" spans="1:10">
      <c r="A111" s="19" t="s">
        <v>11</v>
      </c>
      <c r="B111" s="20" t="s">
        <v>80</v>
      </c>
      <c r="C111" s="20"/>
      <c r="D111" s="61">
        <v>1</v>
      </c>
      <c r="E111" s="62">
        <v>25000</v>
      </c>
      <c r="F111" s="62">
        <f t="shared" si="6"/>
        <v>25</v>
      </c>
      <c r="G111" s="14"/>
      <c r="H111" s="13" t="s">
        <v>10</v>
      </c>
      <c r="I111" s="19"/>
      <c r="J111" s="37"/>
    </row>
    <row r="112" spans="1:10" ht="16.5" customHeight="1">
      <c r="A112" s="19" t="s">
        <v>13</v>
      </c>
      <c r="B112" s="20" t="s">
        <v>81</v>
      </c>
      <c r="C112" s="20"/>
      <c r="D112" s="61">
        <v>1</v>
      </c>
      <c r="E112" s="62">
        <v>20000</v>
      </c>
      <c r="F112" s="62">
        <f t="shared" si="6"/>
        <v>20</v>
      </c>
      <c r="G112" s="14"/>
      <c r="H112" s="13" t="s">
        <v>82</v>
      </c>
      <c r="I112" s="19"/>
      <c r="J112" s="37"/>
    </row>
    <row r="113" spans="1:10" ht="16.5" customHeight="1">
      <c r="A113" s="19" t="s">
        <v>16</v>
      </c>
      <c r="B113" s="20" t="s">
        <v>83</v>
      </c>
      <c r="C113" s="20"/>
      <c r="D113" s="61">
        <v>1</v>
      </c>
      <c r="E113" s="62">
        <v>35000</v>
      </c>
      <c r="F113" s="62">
        <f t="shared" si="6"/>
        <v>35</v>
      </c>
      <c r="G113" s="14"/>
      <c r="H113" s="13" t="s">
        <v>91</v>
      </c>
      <c r="I113" s="19"/>
      <c r="J113" s="37"/>
    </row>
    <row r="114" spans="1:10">
      <c r="A114" s="19" t="s">
        <v>19</v>
      </c>
      <c r="B114" s="20" t="s">
        <v>84</v>
      </c>
      <c r="C114" s="20"/>
      <c r="D114" s="61">
        <v>1</v>
      </c>
      <c r="E114" s="62">
        <v>100000</v>
      </c>
      <c r="F114" s="62">
        <f t="shared" si="6"/>
        <v>100</v>
      </c>
      <c r="G114" s="14"/>
      <c r="H114" s="13" t="s">
        <v>10</v>
      </c>
      <c r="I114" s="19"/>
      <c r="J114" s="37"/>
    </row>
    <row r="115" spans="1:10" ht="16.5" customHeight="1">
      <c r="A115" s="26" t="s">
        <v>21</v>
      </c>
      <c r="B115" s="27" t="s">
        <v>20</v>
      </c>
      <c r="C115" s="27"/>
      <c r="D115" s="63"/>
      <c r="E115" s="64"/>
      <c r="F115" s="64">
        <f t="shared" si="6"/>
        <v>0</v>
      </c>
      <c r="G115" s="29"/>
      <c r="H115" s="28"/>
      <c r="I115" s="19"/>
      <c r="J115" s="37"/>
    </row>
    <row r="116" spans="1:10" ht="16.5" customHeight="1">
      <c r="A116" s="19" t="s">
        <v>35</v>
      </c>
      <c r="B116" s="19" t="s">
        <v>85</v>
      </c>
      <c r="C116" s="19"/>
      <c r="D116" s="61"/>
      <c r="E116" s="62"/>
      <c r="F116" s="62">
        <f>SUM(F110:F115)</f>
        <v>368.94522693264923</v>
      </c>
      <c r="G116" s="14"/>
      <c r="H116" s="13"/>
      <c r="I116" s="19"/>
      <c r="J116" s="37"/>
    </row>
    <row r="117" spans="1:10" ht="16.5" customHeight="1">
      <c r="A117" s="13"/>
      <c r="B117" s="13"/>
      <c r="C117" s="13"/>
      <c r="D117" s="61"/>
      <c r="E117" s="62"/>
      <c r="F117" s="62"/>
      <c r="G117" s="14"/>
      <c r="H117" s="13"/>
      <c r="I117" s="19"/>
      <c r="J117" s="37"/>
    </row>
    <row r="118" spans="1:10" ht="16.5" customHeight="1">
      <c r="A118" s="12"/>
      <c r="B118" s="7" t="s">
        <v>86</v>
      </c>
      <c r="C118" s="7"/>
      <c r="D118" s="61"/>
      <c r="E118" s="62"/>
      <c r="F118" s="62"/>
      <c r="G118" s="14"/>
      <c r="H118" s="13"/>
      <c r="I118" s="19"/>
      <c r="J118" s="37"/>
    </row>
    <row r="119" spans="1:10" ht="16.5" customHeight="1">
      <c r="A119" s="12">
        <f>A$2</f>
        <v>1</v>
      </c>
      <c r="B119" s="13" t="str">
        <f>B$2</f>
        <v>General</v>
      </c>
      <c r="C119" s="13"/>
      <c r="D119" s="61"/>
      <c r="E119" s="62"/>
      <c r="F119" s="62">
        <f>F$8</f>
        <v>60</v>
      </c>
      <c r="G119" s="14"/>
      <c r="H119" s="13"/>
      <c r="I119" s="19"/>
      <c r="J119" s="37"/>
    </row>
    <row r="120" spans="1:10" ht="16.5" customHeight="1">
      <c r="A120" s="12">
        <f>A$10</f>
        <v>2</v>
      </c>
      <c r="B120" s="13" t="str">
        <f>B$10</f>
        <v>Powerhouse/Intake</v>
      </c>
      <c r="C120" s="13"/>
      <c r="D120" s="61"/>
      <c r="E120" s="62"/>
      <c r="F120" s="62">
        <f>F$30</f>
        <v>837.58602465811578</v>
      </c>
      <c r="G120" s="14"/>
      <c r="H120" s="13"/>
      <c r="I120" s="19"/>
      <c r="J120" s="37"/>
    </row>
    <row r="121" spans="1:10" ht="16.5" customHeight="1">
      <c r="A121" s="12">
        <f>A$32</f>
        <v>3</v>
      </c>
      <c r="B121" s="13" t="str">
        <f>B$32</f>
        <v>Equipment</v>
      </c>
      <c r="C121" s="13"/>
      <c r="D121" s="61"/>
      <c r="E121" s="62"/>
      <c r="F121" s="62">
        <f>F$39</f>
        <v>980.22931200000005</v>
      </c>
      <c r="G121" s="14"/>
      <c r="H121" s="13"/>
      <c r="I121" s="19"/>
      <c r="J121" s="37"/>
    </row>
    <row r="122" spans="1:10" ht="16.5" hidden="1" customHeight="1">
      <c r="A122" s="43">
        <f>A$41</f>
        <v>4</v>
      </c>
      <c r="B122" s="11" t="str">
        <f>B$41</f>
        <v xml:space="preserve">Spillway </v>
      </c>
      <c r="E122" s="66"/>
      <c r="F122" s="66">
        <f>F$47</f>
        <v>0</v>
      </c>
      <c r="G122" s="44"/>
      <c r="I122" s="19"/>
      <c r="J122" s="37"/>
    </row>
    <row r="123" spans="1:10" ht="16.5" hidden="1" customHeight="1">
      <c r="A123" s="43">
        <f>A$49</f>
        <v>5</v>
      </c>
      <c r="B123" s="11" t="str">
        <f>B$49</f>
        <v>East (left) Dike</v>
      </c>
      <c r="E123" s="66"/>
      <c r="F123" s="66">
        <f>F$56</f>
        <v>0</v>
      </c>
      <c r="G123" s="33"/>
      <c r="I123" s="19"/>
      <c r="J123" s="37"/>
    </row>
    <row r="124" spans="1:10" ht="16.5" hidden="1" customHeight="1">
      <c r="A124" s="43">
        <f>A$58</f>
        <v>5</v>
      </c>
      <c r="B124" s="11" t="str">
        <f>B$58</f>
        <v>West (right) Dike</v>
      </c>
      <c r="E124" s="66"/>
      <c r="F124" s="66">
        <f>F$65</f>
        <v>0</v>
      </c>
      <c r="G124" s="33"/>
      <c r="I124" s="19"/>
      <c r="J124" s="37"/>
    </row>
    <row r="125" spans="1:10" ht="16.5" hidden="1" customHeight="1">
      <c r="A125" s="43">
        <f>A$67</f>
        <v>7</v>
      </c>
      <c r="B125" s="11" t="str">
        <f>B$67</f>
        <v>Canal</v>
      </c>
      <c r="E125" s="66"/>
      <c r="F125" s="66">
        <f>F$73</f>
        <v>0</v>
      </c>
      <c r="G125" s="33"/>
      <c r="I125" s="19"/>
      <c r="J125" s="37"/>
    </row>
    <row r="126" spans="1:10" ht="16.5" customHeight="1">
      <c r="A126" s="43">
        <f>A$75</f>
        <v>8</v>
      </c>
      <c r="B126" s="11" t="str">
        <f>B$75</f>
        <v>PM&amp;E Measures</v>
      </c>
      <c r="E126" s="66"/>
      <c r="F126" s="66">
        <f>F$82</f>
        <v>77.5</v>
      </c>
      <c r="G126" s="33"/>
      <c r="I126" s="19"/>
      <c r="J126" s="37"/>
    </row>
    <row r="127" spans="1:10" ht="16.5" customHeight="1">
      <c r="A127" s="43">
        <f>A$84</f>
        <v>9</v>
      </c>
      <c r="B127" s="176" t="s">
        <v>247</v>
      </c>
      <c r="E127" s="66"/>
      <c r="F127" s="66">
        <f>F$91</f>
        <v>287.5</v>
      </c>
      <c r="G127" s="33"/>
      <c r="I127" s="19"/>
      <c r="J127" s="37"/>
    </row>
    <row r="128" spans="1:10" ht="16.5" customHeight="1">
      <c r="A128" s="43">
        <f>A$93</f>
        <v>10</v>
      </c>
      <c r="B128" s="11" t="str">
        <f>B$93</f>
        <v>Land &amp; Land Rights</v>
      </c>
      <c r="E128" s="66"/>
      <c r="F128" s="66">
        <f>F$99</f>
        <v>20</v>
      </c>
      <c r="G128" s="33"/>
      <c r="I128" s="19"/>
      <c r="J128" s="37"/>
    </row>
    <row r="129" spans="1:10" ht="16.5" customHeight="1">
      <c r="A129" s="45">
        <f>A$101</f>
        <v>11</v>
      </c>
      <c r="B129" s="46" t="str">
        <f>B$101</f>
        <v>Interconnection</v>
      </c>
      <c r="C129" s="46"/>
      <c r="D129" s="70"/>
      <c r="E129" s="71"/>
      <c r="F129" s="71">
        <f>F$107</f>
        <v>99</v>
      </c>
      <c r="G129" s="47"/>
      <c r="H129" s="46"/>
      <c r="I129" s="19"/>
      <c r="J129" s="37"/>
    </row>
    <row r="130" spans="1:10" ht="16.5" customHeight="1">
      <c r="A130" s="43"/>
      <c r="B130" s="48" t="s">
        <v>87</v>
      </c>
      <c r="C130" s="48"/>
      <c r="E130" s="66"/>
      <c r="F130" s="66">
        <f>SUM(F119:F129)</f>
        <v>2361.8153366581159</v>
      </c>
      <c r="G130" s="33"/>
      <c r="I130" s="19"/>
      <c r="J130" s="37"/>
    </row>
    <row r="131" spans="1:10" ht="16.5" customHeight="1">
      <c r="A131" s="43"/>
      <c r="B131" s="48"/>
      <c r="C131" s="48"/>
      <c r="E131" s="66"/>
      <c r="F131" s="66"/>
      <c r="G131" s="33"/>
      <c r="I131" s="19"/>
      <c r="J131" s="37"/>
    </row>
    <row r="132" spans="1:10" ht="16.5" customHeight="1">
      <c r="A132" s="45">
        <f>A$109</f>
        <v>12</v>
      </c>
      <c r="B132" s="46" t="str">
        <f>B$109</f>
        <v>Indirect Costs</v>
      </c>
      <c r="C132" s="46"/>
      <c r="D132" s="70"/>
      <c r="E132" s="71"/>
      <c r="F132" s="71">
        <f>F$116</f>
        <v>368.94522693264923</v>
      </c>
      <c r="G132" s="47"/>
      <c r="H132" s="46"/>
      <c r="I132" s="19"/>
      <c r="J132" s="37"/>
    </row>
    <row r="133" spans="1:10" ht="16.5" customHeight="1">
      <c r="A133" s="43"/>
      <c r="B133" s="48" t="s">
        <v>88</v>
      </c>
      <c r="C133" s="48"/>
      <c r="E133" s="66"/>
      <c r="F133" s="72">
        <f>F$130+F$132</f>
        <v>2730.7605635907653</v>
      </c>
      <c r="G133" s="49"/>
      <c r="I133" s="19"/>
      <c r="J133" s="37"/>
    </row>
    <row r="134" spans="1:10" ht="16.5" customHeight="1">
      <c r="A134" s="43"/>
      <c r="B134" s="48"/>
      <c r="C134" s="48"/>
      <c r="E134" s="66"/>
      <c r="F134" s="72"/>
      <c r="G134" s="49"/>
      <c r="I134" s="19"/>
      <c r="J134" s="37"/>
    </row>
    <row r="135" spans="1:10" ht="16.5" customHeight="1">
      <c r="A135" s="45">
        <v>13</v>
      </c>
      <c r="B135" s="46" t="s">
        <v>89</v>
      </c>
      <c r="C135" s="46"/>
      <c r="D135" s="73">
        <f>F$133*1000</f>
        <v>2730760.5635907655</v>
      </c>
      <c r="E135" s="245">
        <v>0.2</v>
      </c>
      <c r="F135" s="71">
        <f>D135*E135*0.001</f>
        <v>546.15211271815315</v>
      </c>
      <c r="G135" s="47"/>
      <c r="H135" s="46"/>
      <c r="I135" s="19"/>
      <c r="J135" s="37"/>
    </row>
    <row r="136" spans="1:10" ht="16.5" customHeight="1">
      <c r="E136" s="66"/>
      <c r="F136" s="66"/>
      <c r="G136" s="33"/>
      <c r="I136" s="19"/>
      <c r="J136" s="37"/>
    </row>
    <row r="137" spans="1:10" ht="16.5" customHeight="1">
      <c r="A137" s="12"/>
      <c r="B137" s="50" t="s">
        <v>90</v>
      </c>
      <c r="C137" s="7"/>
      <c r="D137" s="61"/>
      <c r="E137" s="62"/>
      <c r="F137" s="60">
        <f>F$133+F$135</f>
        <v>3276.9126763089184</v>
      </c>
      <c r="G137" s="8"/>
      <c r="H137" s="13"/>
      <c r="I137" s="19"/>
      <c r="J137" s="37"/>
    </row>
    <row r="138" spans="1:10">
      <c r="I138" s="19"/>
      <c r="J138" s="37"/>
    </row>
    <row r="139" spans="1:10">
      <c r="I139" s="19"/>
      <c r="J139" s="37"/>
    </row>
    <row r="140" spans="1:10">
      <c r="I140" s="19"/>
      <c r="J140" s="37"/>
    </row>
    <row r="141" spans="1:10">
      <c r="I141" s="19"/>
      <c r="J141" s="37"/>
    </row>
    <row r="142" spans="1:10">
      <c r="I142" s="19"/>
      <c r="J142" s="37"/>
    </row>
    <row r="143" spans="1:10">
      <c r="I143" s="19"/>
      <c r="J143" s="37"/>
    </row>
    <row r="144" spans="1:10">
      <c r="I144" s="19"/>
      <c r="J144" s="37"/>
    </row>
    <row r="145" spans="9:10">
      <c r="I145" s="19"/>
      <c r="J145" s="37"/>
    </row>
    <row r="146" spans="9:10">
      <c r="I146" s="19"/>
      <c r="J146" s="37"/>
    </row>
    <row r="147" spans="9:10">
      <c r="I147" s="19"/>
      <c r="J147" s="37"/>
    </row>
    <row r="148" spans="9:10">
      <c r="I148" s="19"/>
      <c r="J148" s="37"/>
    </row>
    <row r="149" spans="9:10">
      <c r="I149" s="19"/>
      <c r="J149" s="37"/>
    </row>
    <row r="150" spans="9:10">
      <c r="I150" s="19"/>
      <c r="J150" s="37"/>
    </row>
    <row r="151" spans="9:10">
      <c r="I151" s="19"/>
      <c r="J151" s="37"/>
    </row>
    <row r="152" spans="9:10">
      <c r="I152" s="19"/>
      <c r="J152" s="37"/>
    </row>
    <row r="153" spans="9:10">
      <c r="I153" s="19"/>
      <c r="J153" s="37"/>
    </row>
    <row r="154" spans="9:10">
      <c r="I154" s="19"/>
      <c r="J154" s="37"/>
    </row>
    <row r="155" spans="9:10">
      <c r="I155" s="19"/>
      <c r="J155" s="37"/>
    </row>
    <row r="156" spans="9:10">
      <c r="I156" s="19"/>
      <c r="J156" s="37"/>
    </row>
    <row r="157" spans="9:10">
      <c r="I157" s="19"/>
      <c r="J157" s="37"/>
    </row>
    <row r="158" spans="9:10">
      <c r="I158" s="19"/>
      <c r="J158" s="37"/>
    </row>
    <row r="159" spans="9:10">
      <c r="I159" s="19"/>
      <c r="J159" s="37"/>
    </row>
    <row r="160" spans="9:10">
      <c r="I160" s="19"/>
      <c r="J160" s="37"/>
    </row>
    <row r="161" spans="9:10">
      <c r="I161" s="19"/>
      <c r="J161" s="37"/>
    </row>
    <row r="162" spans="9:10">
      <c r="I162" s="19"/>
      <c r="J162" s="37"/>
    </row>
    <row r="163" spans="9:10">
      <c r="I163" s="19"/>
      <c r="J163" s="37"/>
    </row>
    <row r="164" spans="9:10">
      <c r="I164" s="19"/>
      <c r="J164" s="37"/>
    </row>
    <row r="165" spans="9:10">
      <c r="I165" s="19"/>
      <c r="J165" s="37"/>
    </row>
    <row r="166" spans="9:10">
      <c r="I166" s="19"/>
      <c r="J166" s="37"/>
    </row>
    <row r="167" spans="9:10">
      <c r="I167" s="19"/>
      <c r="J167" s="37"/>
    </row>
    <row r="168" spans="9:10">
      <c r="I168" s="19"/>
      <c r="J168" s="37"/>
    </row>
    <row r="169" spans="9:10">
      <c r="I169" s="19"/>
      <c r="J169" s="37"/>
    </row>
    <row r="170" spans="9:10">
      <c r="I170" s="19"/>
      <c r="J170" s="37"/>
    </row>
    <row r="171" spans="9:10">
      <c r="I171" s="19"/>
      <c r="J171" s="37"/>
    </row>
    <row r="172" spans="9:10">
      <c r="I172" s="19"/>
      <c r="J172" s="37"/>
    </row>
    <row r="173" spans="9:10">
      <c r="I173" s="19"/>
      <c r="J173" s="37"/>
    </row>
    <row r="174" spans="9:10">
      <c r="I174" s="19"/>
      <c r="J174" s="37"/>
    </row>
  </sheetData>
  <mergeCells count="1">
    <mergeCell ref="L3:S6"/>
  </mergeCells>
  <conditionalFormatting sqref="I24:N65536 I3:I5 K8:L15 I17:I22 M10:M15 I7:I15 K18:L22 M20:M22 K3:K5 N7:N22">
    <cfRule type="cellIs" dxfId="6" priority="1" stopIfTrue="1" operator="equal">
      <formula>0</formula>
    </cfRule>
  </conditionalFormatting>
  <printOptions horizontalCentered="1" gridLines="1"/>
  <pageMargins left="0.75" right="0.75" top="0.63" bottom="0.63" header="0.32" footer="0.45"/>
  <pageSetup scale="61" fitToHeight="2" orientation="portrait" r:id="rId1"/>
  <headerFooter alignWithMargins="0">
    <oddHeader>&amp;L&amp;"Arial,Bold Italic"&amp;11&amp;A&amp;C&amp;"Arial,Bold Italic"&amp;11Ten Mile River Hydro
Phase I Feasibility Study&amp;R&amp;"Arial,Bold Italic"&amp;11For Planning Purposes Only</oddHeader>
    <oddFooter>&amp;L&amp;F&amp;R&amp;G</oddFooter>
  </headerFooter>
  <rowBreaks count="1" manualBreakCount="1">
    <brk id="92" max="7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workbookViewId="0">
      <selection activeCell="C20" sqref="C20"/>
    </sheetView>
  </sheetViews>
  <sheetFormatPr defaultRowHeight="12.75"/>
  <cols>
    <col min="1" max="1" width="7.7109375" style="55" customWidth="1"/>
    <col min="2" max="16384" width="9.140625" style="55"/>
  </cols>
  <sheetData>
    <row r="1" spans="1:9" ht="15" customHeight="1">
      <c r="B1" s="368" t="s">
        <v>413</v>
      </c>
      <c r="C1" s="368"/>
      <c r="D1" s="368"/>
      <c r="E1" s="368"/>
      <c r="F1" s="368"/>
    </row>
    <row r="3" spans="1:9" ht="38.25">
      <c r="A3" s="347" t="s">
        <v>211</v>
      </c>
      <c r="B3" s="236" t="s">
        <v>411</v>
      </c>
      <c r="C3" s="236" t="s">
        <v>410</v>
      </c>
      <c r="D3" s="347" t="s">
        <v>409</v>
      </c>
      <c r="E3" s="347" t="s">
        <v>188</v>
      </c>
      <c r="F3" s="236" t="s">
        <v>414</v>
      </c>
    </row>
    <row r="4" spans="1:9" ht="15" customHeight="1">
      <c r="A4" s="347" t="s">
        <v>404</v>
      </c>
      <c r="B4" s="347"/>
      <c r="C4" s="347"/>
      <c r="D4" s="347"/>
      <c r="E4" s="347"/>
      <c r="F4" s="347"/>
      <c r="G4" s="59"/>
      <c r="H4" s="59"/>
      <c r="I4" s="59"/>
    </row>
    <row r="5" spans="1:9" ht="15" customHeight="1">
      <c r="A5" s="349" t="s">
        <v>165</v>
      </c>
      <c r="B5" s="352">
        <f>'Summary - Cash'!B14</f>
        <v>3326.1606763089185</v>
      </c>
      <c r="C5" s="350">
        <f>'Summary - Cash'!C14</f>
        <v>204.50209102286885</v>
      </c>
      <c r="D5" s="352">
        <f>'Summary - Cash'!D14</f>
        <v>16264.678075770697</v>
      </c>
      <c r="E5" s="351">
        <f>'Summary - Cash'!I14</f>
        <v>2.520592783790163E-2</v>
      </c>
      <c r="F5" s="352">
        <f>'Summary - Cash'!J14</f>
        <v>-665.41013462219985</v>
      </c>
      <c r="G5" s="59"/>
      <c r="H5" s="59"/>
      <c r="I5" s="59"/>
    </row>
    <row r="6" spans="1:9" ht="15" customHeight="1">
      <c r="A6" s="349" t="s">
        <v>166</v>
      </c>
      <c r="B6" s="352">
        <f>'Summary - Cash'!B32</f>
        <v>5433.7793994897183</v>
      </c>
      <c r="C6" s="350">
        <f>'Summary - Cash'!C32</f>
        <v>287.69775007082876</v>
      </c>
      <c r="D6" s="352">
        <f>'Summary - Cash'!D32</f>
        <v>18887.111206646448</v>
      </c>
      <c r="E6" s="351">
        <f>'Summary - Cash'!I32</f>
        <v>9.4878333066436647E-3</v>
      </c>
      <c r="F6" s="352">
        <f>'Summary - Cash'!J32</f>
        <v>-1596.6952922814862</v>
      </c>
      <c r="G6" s="59"/>
      <c r="H6" s="59"/>
      <c r="I6" s="59"/>
    </row>
    <row r="7" spans="1:9" ht="15" customHeight="1">
      <c r="A7" s="349" t="s">
        <v>167</v>
      </c>
      <c r="B7" s="352">
        <f>'Summary - Cash'!B33</f>
        <v>5837.7521279668372</v>
      </c>
      <c r="C7" s="350">
        <f>'Summary - Cash'!C33</f>
        <v>533.66834555123194</v>
      </c>
      <c r="D7" s="352">
        <f>'Summary - Cash'!D33</f>
        <v>10938.913983996856</v>
      </c>
      <c r="E7" s="351">
        <f>'Summary - Cash'!I33</f>
        <v>8.674462870248463E-2</v>
      </c>
      <c r="F7" s="352">
        <f>'Summary - Cash'!J33</f>
        <v>2450.1719960947376</v>
      </c>
      <c r="G7" s="59"/>
      <c r="H7" s="59"/>
      <c r="I7" s="59"/>
    </row>
    <row r="8" spans="1:9" ht="15" customHeight="1">
      <c r="B8" s="352"/>
      <c r="C8" s="59"/>
      <c r="D8" s="352"/>
      <c r="E8" s="59"/>
      <c r="F8" s="352"/>
      <c r="G8" s="59"/>
      <c r="H8" s="59"/>
      <c r="I8" s="59"/>
    </row>
    <row r="9" spans="1:9" ht="15" customHeight="1">
      <c r="A9" s="108" t="s">
        <v>405</v>
      </c>
      <c r="B9" s="352"/>
      <c r="C9" s="59"/>
      <c r="D9" s="352"/>
      <c r="E9" s="59"/>
      <c r="F9" s="352"/>
      <c r="G9" s="59"/>
      <c r="H9" s="59"/>
      <c r="I9" s="59"/>
    </row>
    <row r="10" spans="1:9" ht="15" customHeight="1">
      <c r="A10" s="349" t="s">
        <v>224</v>
      </c>
      <c r="B10" s="352">
        <f>'Summary - Cash'!B18</f>
        <v>3363.7446763089183</v>
      </c>
      <c r="C10" s="350">
        <f>'Summary - Cash'!C18</f>
        <v>111.64708753140407</v>
      </c>
      <c r="D10" s="352">
        <f>'Summary - Cash'!D18</f>
        <v>30128.369227390413</v>
      </c>
      <c r="E10" s="351" t="e">
        <f>'Summary - Cash'!I18</f>
        <v>#DIV/0!</v>
      </c>
      <c r="F10" s="352">
        <f>'Summary - Cash'!J18</f>
        <v>-2313.9549791592613</v>
      </c>
      <c r="G10" s="59"/>
      <c r="H10" s="59"/>
      <c r="I10" s="59"/>
    </row>
    <row r="11" spans="1:9" ht="15" customHeight="1">
      <c r="A11" s="349" t="s">
        <v>225</v>
      </c>
      <c r="B11" s="352">
        <f>'Summary - Cash'!B34</f>
        <v>4019.7894047860382</v>
      </c>
      <c r="C11" s="350">
        <f>'Summary - Cash'!C34</f>
        <v>340.7351597212907</v>
      </c>
      <c r="D11" s="352">
        <f>'Summary - Cash'!D34</f>
        <v>11797.401266350334</v>
      </c>
      <c r="E11" s="351">
        <f>'Summary - Cash'!I34</f>
        <v>7.3026412273190261E-2</v>
      </c>
      <c r="F11" s="352">
        <f>'Summary - Cash'!J34</f>
        <v>985.19307192371139</v>
      </c>
      <c r="G11" s="59"/>
      <c r="H11" s="59"/>
      <c r="I11" s="59"/>
    </row>
    <row r="12" spans="1:9" ht="15" customHeight="1">
      <c r="A12" s="349" t="s">
        <v>276</v>
      </c>
      <c r="B12" s="352">
        <v>2994</v>
      </c>
      <c r="C12" s="59">
        <v>271</v>
      </c>
      <c r="D12" s="352">
        <v>11064</v>
      </c>
      <c r="E12" s="400">
        <v>0.06</v>
      </c>
      <c r="F12" s="352">
        <v>246</v>
      </c>
      <c r="G12" s="59"/>
      <c r="H12" s="59"/>
      <c r="I12" s="59"/>
    </row>
    <row r="13" spans="1:9" ht="15" customHeight="1">
      <c r="B13" s="352"/>
      <c r="C13" s="59"/>
      <c r="D13" s="352"/>
      <c r="E13" s="59"/>
      <c r="F13" s="352"/>
      <c r="G13" s="59"/>
      <c r="H13" s="59"/>
      <c r="I13" s="59"/>
    </row>
    <row r="14" spans="1:9" ht="15" customHeight="1">
      <c r="A14" s="108" t="s">
        <v>208</v>
      </c>
      <c r="B14" s="352"/>
      <c r="C14" s="59"/>
      <c r="D14" s="352"/>
      <c r="E14" s="59"/>
      <c r="F14" s="352"/>
      <c r="G14" s="59"/>
      <c r="H14" s="59"/>
      <c r="I14" s="59"/>
    </row>
    <row r="15" spans="1:9" ht="15" customHeight="1">
      <c r="A15" s="349" t="s">
        <v>226</v>
      </c>
      <c r="B15" s="352">
        <f>'Summary - Cash'!B22</f>
        <v>3276.9126763089184</v>
      </c>
      <c r="C15" s="350">
        <f>'Summary - Cash'!C22</f>
        <v>103.90917057378202</v>
      </c>
      <c r="D15" s="352">
        <f>'Summary - Cash'!D22</f>
        <v>31536.318288500868</v>
      </c>
      <c r="E15" s="351" t="e">
        <f>'Summary - Cash'!I22</f>
        <v>#DIV/0!</v>
      </c>
      <c r="F15" s="352">
        <f>'Summary - Cash'!J22</f>
        <v>-2293.6661180695492</v>
      </c>
      <c r="G15" s="59"/>
      <c r="H15" s="59"/>
      <c r="I15" s="59"/>
    </row>
    <row r="16" spans="1:9" ht="15" customHeight="1">
      <c r="B16" s="59"/>
      <c r="C16" s="59"/>
      <c r="D16" s="352"/>
      <c r="E16" s="59"/>
      <c r="F16" s="59"/>
      <c r="G16" s="59"/>
      <c r="H16" s="59"/>
      <c r="I16" s="59"/>
    </row>
    <row r="17" spans="2:9" ht="15" customHeight="1">
      <c r="B17" s="59"/>
      <c r="C17" s="59"/>
      <c r="D17" s="59"/>
      <c r="E17" s="59"/>
      <c r="F17" s="59"/>
      <c r="G17" s="59"/>
      <c r="H17" s="59"/>
      <c r="I17" s="59"/>
    </row>
    <row r="18" spans="2:9" ht="15" customHeight="1">
      <c r="B18" s="59"/>
      <c r="C18" s="59"/>
      <c r="D18" s="59"/>
      <c r="E18" s="59"/>
      <c r="F18" s="59"/>
      <c r="G18" s="59"/>
      <c r="H18" s="59"/>
      <c r="I18" s="59"/>
    </row>
    <row r="19" spans="2:9">
      <c r="B19" s="59"/>
      <c r="C19" s="59"/>
      <c r="D19" s="59"/>
      <c r="E19" s="59"/>
      <c r="F19" s="59"/>
      <c r="G19" s="59"/>
      <c r="H19" s="59"/>
      <c r="I19" s="59"/>
    </row>
    <row r="20" spans="2:9">
      <c r="B20" s="59"/>
      <c r="C20" s="59"/>
      <c r="D20" s="59"/>
      <c r="E20" s="59"/>
      <c r="F20" s="59"/>
      <c r="G20" s="59"/>
      <c r="H20" s="59"/>
      <c r="I20" s="59"/>
    </row>
    <row r="21" spans="2:9">
      <c r="B21" s="59"/>
      <c r="C21" s="59"/>
      <c r="D21" s="59"/>
      <c r="E21" s="59"/>
      <c r="F21" s="59"/>
      <c r="G21" s="59"/>
      <c r="H21" s="59"/>
      <c r="I21" s="59"/>
    </row>
    <row r="22" spans="2:9">
      <c r="B22" s="59"/>
      <c r="C22" s="59"/>
      <c r="D22" s="59"/>
      <c r="E22" s="59"/>
      <c r="F22" s="59"/>
      <c r="G22" s="59"/>
      <c r="H22" s="59"/>
      <c r="I22" s="59"/>
    </row>
    <row r="23" spans="2:9">
      <c r="B23" s="59"/>
      <c r="C23" s="59"/>
      <c r="D23" s="59"/>
      <c r="E23" s="59"/>
      <c r="F23" s="59"/>
      <c r="G23" s="59"/>
      <c r="H23" s="59"/>
      <c r="I23" s="59"/>
    </row>
  </sheetData>
  <mergeCells count="1">
    <mergeCell ref="B1:F1"/>
  </mergeCells>
  <conditionalFormatting sqref="B4:I23">
    <cfRule type="containsErrors" dxfId="0" priority="2">
      <formula>ISERROR(B4)</formula>
    </cfRule>
  </conditionalFormatting>
  <printOptions horizontalCentered="1"/>
  <pageMargins left="0.7" right="0.7" top="0.75" bottom="0.75" header="0.3" footer="0.3"/>
  <pageSetup orientation="portrait" r:id="rId1"/>
  <headerFooter>
    <oddHeader>&amp;LEast Providence&amp;C Ten Mile River Feasibility Study&amp;R&amp;A</oddHeader>
    <oddFooter>&amp;R&amp;F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P174"/>
  <sheetViews>
    <sheetView view="pageBreakPreview" zoomScale="75" zoomScaleNormal="80" zoomScaleSheetLayoutView="75" workbookViewId="0">
      <pane ySplit="1" topLeftCell="A29" activePane="bottomLeft" state="frozen"/>
      <selection activeCell="H11" sqref="H11"/>
      <selection pane="bottomLeft" activeCell="H11" sqref="H11"/>
    </sheetView>
  </sheetViews>
  <sheetFormatPr defaultRowHeight="12.75"/>
  <cols>
    <col min="1" max="1" width="4.85546875" style="176" customWidth="1"/>
    <col min="2" max="2" width="32.5703125" style="176" customWidth="1"/>
    <col min="3" max="3" width="9.140625" style="176"/>
    <col min="4" max="4" width="12.42578125" style="246" customWidth="1"/>
    <col min="5" max="5" width="9.42578125" style="246" customWidth="1"/>
    <col min="6" max="6" width="12.85546875" style="246" customWidth="1"/>
    <col min="7" max="7" width="3.140625" style="176" customWidth="1"/>
    <col min="8" max="8" width="67.5703125" style="176" customWidth="1"/>
    <col min="9" max="9" width="4.85546875" style="176" customWidth="1"/>
    <col min="10" max="10" width="12.28515625" style="283" customWidth="1"/>
    <col min="11" max="11" width="12.42578125" style="261" customWidth="1"/>
    <col min="12" max="12" width="12.5703125" style="261" customWidth="1"/>
    <col min="13" max="14" width="9.140625" style="261"/>
    <col min="15" max="16384" width="9.140625" style="176"/>
  </cols>
  <sheetData>
    <row r="1" spans="1:16" ht="25.5">
      <c r="A1" s="7" t="s">
        <v>0</v>
      </c>
      <c r="B1" s="7" t="s">
        <v>1</v>
      </c>
      <c r="C1" s="7" t="s">
        <v>2</v>
      </c>
      <c r="D1" s="12" t="s">
        <v>3</v>
      </c>
      <c r="E1" s="60" t="s">
        <v>4</v>
      </c>
      <c r="F1" s="60" t="s">
        <v>5</v>
      </c>
      <c r="G1" s="8"/>
      <c r="H1" s="7" t="s">
        <v>6</v>
      </c>
      <c r="I1" s="7"/>
      <c r="J1" s="9"/>
    </row>
    <row r="2" spans="1:16" ht="16.5" customHeight="1">
      <c r="A2" s="12">
        <v>1</v>
      </c>
      <c r="B2" s="7" t="s">
        <v>7</v>
      </c>
      <c r="C2" s="7"/>
      <c r="D2" s="191"/>
      <c r="E2" s="239"/>
      <c r="F2" s="239"/>
      <c r="G2" s="240"/>
      <c r="H2" s="142"/>
      <c r="I2" s="15"/>
      <c r="J2" s="16"/>
      <c r="K2" s="170" t="s">
        <v>246</v>
      </c>
      <c r="L2" s="262"/>
      <c r="M2" s="262"/>
      <c r="N2" s="262"/>
      <c r="O2" s="263"/>
      <c r="P2" s="263"/>
    </row>
    <row r="3" spans="1:16" ht="16.5" customHeight="1">
      <c r="A3" s="264" t="s">
        <v>8</v>
      </c>
      <c r="B3" s="194" t="s">
        <v>9</v>
      </c>
      <c r="C3" s="194"/>
      <c r="D3" s="191">
        <v>0</v>
      </c>
      <c r="E3" s="239">
        <v>25000</v>
      </c>
      <c r="F3" s="239">
        <f>0.001*D3*E3</f>
        <v>0</v>
      </c>
      <c r="G3" s="240"/>
      <c r="H3" s="142" t="s">
        <v>258</v>
      </c>
      <c r="I3" s="265"/>
      <c r="J3" s="140"/>
      <c r="K3" s="141" t="s">
        <v>262</v>
      </c>
      <c r="L3" s="262"/>
      <c r="M3" s="262"/>
      <c r="N3" s="262"/>
      <c r="O3" s="263"/>
      <c r="P3" s="263"/>
    </row>
    <row r="4" spans="1:16" ht="16.5" customHeight="1">
      <c r="A4" s="264" t="s">
        <v>11</v>
      </c>
      <c r="B4" s="194" t="s">
        <v>12</v>
      </c>
      <c r="C4" s="194"/>
      <c r="D4" s="191">
        <v>1</v>
      </c>
      <c r="E4" s="239">
        <v>10000</v>
      </c>
      <c r="F4" s="239">
        <f>0.001*D4*E4</f>
        <v>10</v>
      </c>
      <c r="G4" s="240"/>
      <c r="H4" s="142" t="s">
        <v>10</v>
      </c>
      <c r="I4" s="265"/>
      <c r="J4" s="140"/>
      <c r="K4" s="140" t="s">
        <v>263</v>
      </c>
      <c r="L4" s="262"/>
      <c r="M4" s="262"/>
      <c r="N4" s="262"/>
      <c r="O4" s="263"/>
      <c r="P4" s="263"/>
    </row>
    <row r="5" spans="1:16" ht="66" customHeight="1">
      <c r="A5" s="264" t="s">
        <v>13</v>
      </c>
      <c r="B5" s="194" t="s">
        <v>14</v>
      </c>
      <c r="C5" s="194" t="s">
        <v>15</v>
      </c>
      <c r="D5" s="191">
        <v>0.25</v>
      </c>
      <c r="E5" s="239">
        <v>8000</v>
      </c>
      <c r="F5" s="239">
        <f>0.001*D5*E5</f>
        <v>2</v>
      </c>
      <c r="G5" s="240"/>
      <c r="H5" s="142" t="s">
        <v>10</v>
      </c>
      <c r="I5" s="265"/>
      <c r="J5" s="140"/>
      <c r="K5" s="262"/>
      <c r="L5" s="262"/>
      <c r="M5" s="262"/>
      <c r="N5" s="262"/>
      <c r="O5" s="263"/>
      <c r="P5" s="263"/>
    </row>
    <row r="6" spans="1:16" ht="16.5" customHeight="1">
      <c r="A6" s="264" t="s">
        <v>16</v>
      </c>
      <c r="B6" s="194" t="s">
        <v>17</v>
      </c>
      <c r="C6" s="194" t="s">
        <v>18</v>
      </c>
      <c r="D6" s="191">
        <v>200</v>
      </c>
      <c r="E6" s="239">
        <v>10</v>
      </c>
      <c r="F6" s="239">
        <f>0.001*D6*E6</f>
        <v>2</v>
      </c>
      <c r="G6" s="240"/>
      <c r="H6" s="142" t="s">
        <v>10</v>
      </c>
      <c r="I6" s="263"/>
      <c r="J6" s="266"/>
      <c r="K6" s="25"/>
      <c r="L6" s="25"/>
      <c r="M6" s="25"/>
      <c r="N6" s="262"/>
      <c r="O6" s="263"/>
      <c r="P6" s="263"/>
    </row>
    <row r="7" spans="1:16" ht="16.5" customHeight="1">
      <c r="A7" s="267" t="s">
        <v>19</v>
      </c>
      <c r="B7" s="192" t="s">
        <v>151</v>
      </c>
      <c r="C7" s="192"/>
      <c r="D7" s="184">
        <v>0</v>
      </c>
      <c r="E7" s="242"/>
      <c r="F7" s="242">
        <f>0.001*D7*E7</f>
        <v>0</v>
      </c>
      <c r="G7" s="243"/>
      <c r="H7" s="238" t="s">
        <v>374</v>
      </c>
      <c r="I7" s="265"/>
      <c r="J7" s="140"/>
      <c r="K7" s="268"/>
      <c r="L7" s="268"/>
      <c r="M7" s="268"/>
      <c r="N7" s="262"/>
      <c r="O7" s="263"/>
      <c r="P7" s="263"/>
    </row>
    <row r="8" spans="1:16" ht="16.5" customHeight="1">
      <c r="A8" s="264" t="s">
        <v>21</v>
      </c>
      <c r="B8" s="264" t="s">
        <v>22</v>
      </c>
      <c r="C8" s="264"/>
      <c r="D8" s="191"/>
      <c r="E8" s="239"/>
      <c r="F8" s="239">
        <f>SUM(F2:F7)</f>
        <v>14</v>
      </c>
      <c r="G8" s="240"/>
      <c r="H8" s="142"/>
      <c r="I8" s="265"/>
      <c r="J8" s="140"/>
      <c r="K8" s="269"/>
      <c r="L8" s="269"/>
      <c r="M8" s="268"/>
      <c r="N8" s="262"/>
      <c r="O8" s="263"/>
      <c r="P8" s="263"/>
    </row>
    <row r="9" spans="1:16" ht="16.5" customHeight="1">
      <c r="A9" s="264"/>
      <c r="B9" s="142"/>
      <c r="C9" s="142"/>
      <c r="D9" s="191"/>
      <c r="E9" s="239"/>
      <c r="F9" s="239"/>
      <c r="G9" s="240"/>
      <c r="H9" s="142"/>
      <c r="I9" s="265"/>
      <c r="J9" s="140"/>
      <c r="K9" s="269"/>
      <c r="L9" s="269"/>
      <c r="M9" s="268"/>
      <c r="N9" s="262"/>
      <c r="O9" s="263"/>
      <c r="P9" s="263"/>
    </row>
    <row r="10" spans="1:16" ht="16.5" customHeight="1">
      <c r="A10" s="12">
        <v>2</v>
      </c>
      <c r="B10" s="7" t="s">
        <v>130</v>
      </c>
      <c r="C10" s="7"/>
      <c r="D10" s="270"/>
      <c r="E10" s="239"/>
      <c r="F10" s="239"/>
      <c r="G10" s="240"/>
      <c r="H10" s="142"/>
      <c r="I10" s="265"/>
      <c r="J10" s="140"/>
      <c r="K10" s="269"/>
      <c r="L10" s="269"/>
      <c r="M10" s="269"/>
      <c r="N10" s="262"/>
      <c r="O10" s="263"/>
      <c r="P10" s="263"/>
    </row>
    <row r="11" spans="1:16" ht="16.5" customHeight="1">
      <c r="A11" s="264" t="s">
        <v>8</v>
      </c>
      <c r="B11" s="194" t="s">
        <v>114</v>
      </c>
      <c r="C11" s="191"/>
      <c r="D11" s="247">
        <v>0</v>
      </c>
      <c r="E11" s="239">
        <v>100000</v>
      </c>
      <c r="F11" s="239">
        <f>D11*E11/1000</f>
        <v>0</v>
      </c>
      <c r="G11" s="240"/>
      <c r="H11" s="142" t="s">
        <v>258</v>
      </c>
      <c r="I11" s="265"/>
      <c r="J11" s="140"/>
      <c r="K11" s="269"/>
      <c r="L11" s="269"/>
      <c r="M11" s="269"/>
      <c r="N11" s="262"/>
      <c r="O11" s="263"/>
      <c r="P11" s="263"/>
    </row>
    <row r="12" spans="1:16" ht="16.5" customHeight="1">
      <c r="A12" s="264" t="s">
        <v>11</v>
      </c>
      <c r="B12" s="194" t="s">
        <v>115</v>
      </c>
      <c r="C12" s="191"/>
      <c r="D12" s="247">
        <v>1</v>
      </c>
      <c r="E12" s="239">
        <v>10000</v>
      </c>
      <c r="F12" s="239">
        <f>D12*E12/1000</f>
        <v>10</v>
      </c>
      <c r="G12" s="240"/>
      <c r="H12" s="142" t="s">
        <v>10</v>
      </c>
      <c r="I12" s="265"/>
      <c r="J12" s="140"/>
      <c r="K12" s="269"/>
      <c r="L12" s="269"/>
      <c r="M12" s="269"/>
      <c r="N12" s="262"/>
      <c r="O12" s="263"/>
      <c r="P12" s="263"/>
    </row>
    <row r="13" spans="1:16" ht="16.5" customHeight="1">
      <c r="A13" s="264" t="s">
        <v>13</v>
      </c>
      <c r="B13" s="194" t="s">
        <v>24</v>
      </c>
      <c r="C13" s="194"/>
      <c r="D13" s="247">
        <v>0</v>
      </c>
      <c r="E13" s="239"/>
      <c r="F13" s="239">
        <f t="shared" ref="F13:F29" si="0">0.001*D13*E13</f>
        <v>0</v>
      </c>
      <c r="G13" s="240"/>
      <c r="H13" s="142"/>
      <c r="I13" s="265"/>
      <c r="J13" s="140"/>
      <c r="K13" s="269"/>
      <c r="L13" s="269"/>
      <c r="M13" s="269"/>
      <c r="N13" s="262"/>
      <c r="O13" s="263"/>
      <c r="P13" s="263"/>
    </row>
    <row r="14" spans="1:16" ht="16.5" customHeight="1">
      <c r="A14" s="264" t="s">
        <v>25</v>
      </c>
      <c r="B14" s="271" t="s">
        <v>26</v>
      </c>
      <c r="C14" s="194" t="s">
        <v>27</v>
      </c>
      <c r="D14" s="247">
        <v>0</v>
      </c>
      <c r="E14" s="239">
        <v>100</v>
      </c>
      <c r="F14" s="239">
        <f t="shared" si="0"/>
        <v>0</v>
      </c>
      <c r="G14" s="240"/>
      <c r="H14" s="142" t="s">
        <v>340</v>
      </c>
      <c r="I14" s="265"/>
      <c r="J14" s="140"/>
      <c r="K14" s="262"/>
      <c r="L14" s="262"/>
      <c r="M14" s="262"/>
      <c r="N14" s="262"/>
      <c r="O14" s="263"/>
      <c r="P14" s="263"/>
    </row>
    <row r="15" spans="1:16" ht="27.75" customHeight="1">
      <c r="A15" s="264" t="s">
        <v>28</v>
      </c>
      <c r="B15" s="271" t="s">
        <v>29</v>
      </c>
      <c r="C15" s="194" t="s">
        <v>27</v>
      </c>
      <c r="D15" s="175">
        <v>40</v>
      </c>
      <c r="E15" s="239">
        <v>100</v>
      </c>
      <c r="F15" s="239">
        <f t="shared" si="0"/>
        <v>4</v>
      </c>
      <c r="G15" s="240"/>
      <c r="H15" s="142" t="s">
        <v>340</v>
      </c>
      <c r="I15" s="265"/>
      <c r="J15" s="140"/>
      <c r="K15" s="262"/>
      <c r="L15" s="262"/>
      <c r="M15" s="262"/>
      <c r="N15" s="262"/>
      <c r="O15" s="263"/>
      <c r="P15" s="263"/>
    </row>
    <row r="16" spans="1:16" ht="16.5" customHeight="1">
      <c r="A16" s="264" t="s">
        <v>30</v>
      </c>
      <c r="B16" s="271" t="s">
        <v>31</v>
      </c>
      <c r="C16" s="194" t="s">
        <v>27</v>
      </c>
      <c r="D16" s="175">
        <v>100</v>
      </c>
      <c r="E16" s="239">
        <v>100</v>
      </c>
      <c r="F16" s="239">
        <f t="shared" si="0"/>
        <v>10</v>
      </c>
      <c r="G16" s="240"/>
      <c r="H16" s="142" t="s">
        <v>340</v>
      </c>
      <c r="I16" s="263"/>
      <c r="J16" s="266"/>
      <c r="K16" s="25"/>
      <c r="L16" s="25"/>
      <c r="M16" s="25"/>
      <c r="N16" s="262"/>
      <c r="O16" s="263"/>
      <c r="P16" s="263"/>
    </row>
    <row r="17" spans="1:16" ht="16.5" customHeight="1">
      <c r="A17" s="265" t="s">
        <v>16</v>
      </c>
      <c r="B17" s="194" t="s">
        <v>32</v>
      </c>
      <c r="C17" s="194"/>
      <c r="D17" s="247">
        <v>1</v>
      </c>
      <c r="E17" s="239">
        <v>5000</v>
      </c>
      <c r="F17" s="239">
        <f>D17*E17/1000</f>
        <v>5</v>
      </c>
      <c r="G17" s="240"/>
      <c r="H17" s="142" t="s">
        <v>10</v>
      </c>
      <c r="I17" s="265"/>
      <c r="J17" s="140"/>
      <c r="K17" s="268"/>
      <c r="L17" s="268"/>
      <c r="M17" s="268"/>
      <c r="N17" s="262"/>
      <c r="O17" s="263"/>
      <c r="P17" s="263"/>
    </row>
    <row r="18" spans="1:16" ht="16.5" customHeight="1">
      <c r="A18" s="264" t="s">
        <v>19</v>
      </c>
      <c r="B18" s="194" t="s">
        <v>33</v>
      </c>
      <c r="C18" s="194" t="s">
        <v>34</v>
      </c>
      <c r="D18" s="175">
        <v>2</v>
      </c>
      <c r="E18" s="239">
        <v>1000</v>
      </c>
      <c r="F18" s="239">
        <f t="shared" si="0"/>
        <v>2</v>
      </c>
      <c r="G18" s="240"/>
      <c r="H18" s="142" t="s">
        <v>340</v>
      </c>
      <c r="I18" s="265"/>
      <c r="J18" s="140"/>
      <c r="K18" s="269"/>
      <c r="L18" s="269"/>
      <c r="M18" s="268"/>
      <c r="N18" s="262"/>
      <c r="O18" s="263"/>
      <c r="P18" s="263"/>
    </row>
    <row r="19" spans="1:16" ht="16.5" customHeight="1">
      <c r="A19" s="264" t="s">
        <v>21</v>
      </c>
      <c r="B19" s="194" t="s">
        <v>57</v>
      </c>
      <c r="C19" s="194" t="s">
        <v>27</v>
      </c>
      <c r="D19" s="175">
        <v>10</v>
      </c>
      <c r="E19" s="239">
        <v>500</v>
      </c>
      <c r="F19" s="239">
        <f t="shared" si="0"/>
        <v>5</v>
      </c>
      <c r="G19" s="240"/>
      <c r="H19" s="142" t="s">
        <v>340</v>
      </c>
      <c r="I19" s="265"/>
      <c r="J19" s="140"/>
      <c r="K19" s="269"/>
      <c r="L19" s="269"/>
      <c r="M19" s="268"/>
      <c r="N19" s="262"/>
      <c r="O19" s="263"/>
      <c r="P19" s="263"/>
    </row>
    <row r="20" spans="1:16" ht="16.5" customHeight="1">
      <c r="A20" s="264" t="s">
        <v>35</v>
      </c>
      <c r="B20" s="194" t="s">
        <v>124</v>
      </c>
      <c r="C20" s="194" t="s">
        <v>23</v>
      </c>
      <c r="D20" s="175">
        <v>275</v>
      </c>
      <c r="E20" s="239">
        <v>100</v>
      </c>
      <c r="F20" s="239">
        <f t="shared" si="0"/>
        <v>27.500000000000004</v>
      </c>
      <c r="G20" s="240"/>
      <c r="H20" s="142" t="s">
        <v>340</v>
      </c>
      <c r="I20" s="265"/>
      <c r="J20" s="140"/>
      <c r="K20" s="269"/>
      <c r="L20" s="269"/>
      <c r="M20" s="269"/>
      <c r="N20" s="262"/>
      <c r="O20" s="263"/>
      <c r="P20" s="263"/>
    </row>
    <row r="21" spans="1:16" ht="16.5" customHeight="1">
      <c r="A21" s="264" t="s">
        <v>36</v>
      </c>
      <c r="B21" s="194" t="s">
        <v>37</v>
      </c>
      <c r="C21" s="194" t="s">
        <v>23</v>
      </c>
      <c r="D21" s="247">
        <v>0</v>
      </c>
      <c r="E21" s="239">
        <v>100</v>
      </c>
      <c r="F21" s="239">
        <f t="shared" si="0"/>
        <v>0</v>
      </c>
      <c r="G21" s="240"/>
      <c r="H21" s="142" t="s">
        <v>258</v>
      </c>
      <c r="I21" s="265"/>
      <c r="J21" s="140"/>
      <c r="K21" s="269"/>
      <c r="L21" s="269"/>
      <c r="M21" s="269"/>
      <c r="N21" s="262"/>
      <c r="O21" s="263"/>
      <c r="P21" s="263"/>
    </row>
    <row r="22" spans="1:16" ht="16.5" customHeight="1">
      <c r="A22" s="264" t="s">
        <v>25</v>
      </c>
      <c r="B22" s="194" t="s">
        <v>38</v>
      </c>
      <c r="C22" s="191"/>
      <c r="D22" s="247">
        <v>0</v>
      </c>
      <c r="E22" s="239">
        <v>150000</v>
      </c>
      <c r="F22" s="239">
        <f t="shared" si="0"/>
        <v>0</v>
      </c>
      <c r="G22" s="240"/>
      <c r="H22" s="142" t="s">
        <v>258</v>
      </c>
      <c r="I22" s="265"/>
      <c r="J22" s="140"/>
      <c r="K22" s="269"/>
      <c r="L22" s="269"/>
      <c r="M22" s="269"/>
      <c r="N22" s="262"/>
      <c r="O22" s="263"/>
      <c r="P22" s="263"/>
    </row>
    <row r="23" spans="1:16" ht="16.5" customHeight="1">
      <c r="A23" s="264" t="s">
        <v>39</v>
      </c>
      <c r="B23" s="194" t="s">
        <v>160</v>
      </c>
      <c r="C23" s="194"/>
      <c r="D23" s="191">
        <v>0</v>
      </c>
      <c r="E23" s="239">
        <v>5000</v>
      </c>
      <c r="F23" s="239">
        <f t="shared" si="0"/>
        <v>0</v>
      </c>
      <c r="G23" s="240"/>
      <c r="H23" s="142" t="s">
        <v>340</v>
      </c>
      <c r="J23" s="176"/>
      <c r="K23" s="176"/>
      <c r="L23" s="176"/>
      <c r="M23" s="176"/>
      <c r="N23" s="176"/>
    </row>
    <row r="24" spans="1:16" ht="16.5" customHeight="1">
      <c r="A24" s="264" t="s">
        <v>40</v>
      </c>
      <c r="B24" s="194" t="s">
        <v>129</v>
      </c>
      <c r="C24" s="194"/>
      <c r="D24" s="191">
        <v>0</v>
      </c>
      <c r="E24" s="239">
        <v>20000</v>
      </c>
      <c r="F24" s="239">
        <f t="shared" si="0"/>
        <v>0</v>
      </c>
      <c r="G24" s="240"/>
      <c r="H24" s="142"/>
      <c r="I24" s="264"/>
      <c r="J24" s="208"/>
    </row>
    <row r="25" spans="1:16" ht="16.5" customHeight="1">
      <c r="A25" s="264" t="s">
        <v>41</v>
      </c>
      <c r="B25" s="194" t="s">
        <v>42</v>
      </c>
      <c r="C25" s="194"/>
      <c r="D25" s="191">
        <v>1</v>
      </c>
      <c r="E25" s="239">
        <v>3000</v>
      </c>
      <c r="F25" s="239">
        <f t="shared" si="0"/>
        <v>3</v>
      </c>
      <c r="G25" s="240"/>
      <c r="H25" s="142" t="s">
        <v>340</v>
      </c>
      <c r="I25" s="264"/>
      <c r="J25" s="208"/>
    </row>
    <row r="26" spans="1:16" ht="16.5" customHeight="1">
      <c r="A26" s="264" t="s">
        <v>43</v>
      </c>
      <c r="B26" s="194" t="s">
        <v>44</v>
      </c>
      <c r="C26" s="194"/>
      <c r="D26" s="191">
        <v>0</v>
      </c>
      <c r="E26" s="239">
        <v>10000</v>
      </c>
      <c r="F26" s="239">
        <f t="shared" si="0"/>
        <v>0</v>
      </c>
      <c r="G26" s="240"/>
      <c r="H26" s="142"/>
      <c r="I26" s="264"/>
      <c r="J26" s="208"/>
    </row>
    <row r="27" spans="1:16" ht="19.5" customHeight="1">
      <c r="A27" s="264" t="s">
        <v>45</v>
      </c>
      <c r="B27" s="194" t="s">
        <v>46</v>
      </c>
      <c r="C27" s="194"/>
      <c r="D27" s="191">
        <v>1</v>
      </c>
      <c r="E27" s="239">
        <v>5000</v>
      </c>
      <c r="F27" s="239">
        <f>0.001*D27*E27</f>
        <v>5</v>
      </c>
      <c r="G27" s="240"/>
      <c r="H27" s="142" t="s">
        <v>10</v>
      </c>
      <c r="I27" s="264"/>
      <c r="J27" s="208"/>
    </row>
    <row r="28" spans="1:16">
      <c r="A28" s="264" t="s">
        <v>47</v>
      </c>
      <c r="B28" s="194" t="s">
        <v>48</v>
      </c>
      <c r="C28" s="194"/>
      <c r="D28" s="191">
        <v>1</v>
      </c>
      <c r="E28" s="239">
        <v>5000</v>
      </c>
      <c r="F28" s="239">
        <f>0.001*D28*E28</f>
        <v>5</v>
      </c>
      <c r="G28" s="240"/>
      <c r="H28" s="142" t="s">
        <v>10</v>
      </c>
      <c r="I28" s="264"/>
      <c r="J28" s="208"/>
    </row>
    <row r="29" spans="1:16" ht="16.5" customHeight="1">
      <c r="A29" s="267" t="s">
        <v>49</v>
      </c>
      <c r="B29" s="192"/>
      <c r="C29" s="192"/>
      <c r="D29" s="272">
        <v>0</v>
      </c>
      <c r="E29" s="242">
        <v>500</v>
      </c>
      <c r="F29" s="242">
        <f t="shared" si="0"/>
        <v>0</v>
      </c>
      <c r="G29" s="243"/>
      <c r="H29" s="238"/>
      <c r="I29" s="264"/>
      <c r="J29" s="208"/>
    </row>
    <row r="30" spans="1:16">
      <c r="A30" s="264" t="s">
        <v>50</v>
      </c>
      <c r="B30" s="264" t="s">
        <v>51</v>
      </c>
      <c r="C30" s="264"/>
      <c r="D30" s="191"/>
      <c r="E30" s="239"/>
      <c r="F30" s="239">
        <f>SUM(F11:F29)</f>
        <v>76.5</v>
      </c>
      <c r="G30" s="240"/>
      <c r="H30" s="142"/>
      <c r="I30" s="264"/>
      <c r="J30" s="208"/>
    </row>
    <row r="31" spans="1:16" ht="16.5" customHeight="1">
      <c r="A31" s="264"/>
      <c r="B31" s="142"/>
      <c r="C31" s="142"/>
      <c r="D31" s="191"/>
      <c r="E31" s="239"/>
      <c r="F31" s="239"/>
      <c r="G31" s="240"/>
      <c r="H31" s="142"/>
      <c r="I31" s="264"/>
      <c r="J31" s="208"/>
    </row>
    <row r="32" spans="1:16" ht="16.5" customHeight="1">
      <c r="A32" s="12">
        <v>3</v>
      </c>
      <c r="B32" s="7" t="s">
        <v>52</v>
      </c>
      <c r="C32" s="7"/>
      <c r="D32" s="191"/>
      <c r="E32" s="239"/>
      <c r="F32" s="239"/>
      <c r="G32" s="240"/>
      <c r="H32" s="142"/>
      <c r="I32" s="264"/>
      <c r="J32" s="208"/>
    </row>
    <row r="33" spans="1:10" ht="25.5">
      <c r="A33" s="264" t="s">
        <v>8</v>
      </c>
      <c r="B33" s="194" t="s">
        <v>116</v>
      </c>
      <c r="C33" s="194"/>
      <c r="D33" s="191">
        <v>1</v>
      </c>
      <c r="E33" s="239">
        <v>50000</v>
      </c>
      <c r="F33" s="239">
        <f t="shared" ref="F33:F38" si="1">0.001*D33*E33</f>
        <v>50</v>
      </c>
      <c r="G33" s="240"/>
      <c r="H33" s="142" t="s">
        <v>264</v>
      </c>
      <c r="I33" s="264"/>
      <c r="J33" s="208">
        <f>3/1.8*1.5</f>
        <v>2.5</v>
      </c>
    </row>
    <row r="34" spans="1:10" ht="20.25" customHeight="1">
      <c r="A34" s="264" t="s">
        <v>11</v>
      </c>
      <c r="B34" s="194" t="s">
        <v>161</v>
      </c>
      <c r="C34" s="194"/>
      <c r="D34" s="191">
        <v>1</v>
      </c>
      <c r="E34" s="239">
        <f>SUM(F33,F35:F38)*1000*0.2</f>
        <v>15000</v>
      </c>
      <c r="F34" s="239">
        <f t="shared" si="1"/>
        <v>15</v>
      </c>
      <c r="G34" s="240"/>
      <c r="H34" s="142" t="s">
        <v>162</v>
      </c>
      <c r="I34" s="264"/>
      <c r="J34" s="208"/>
    </row>
    <row r="35" spans="1:10" ht="16.5" customHeight="1">
      <c r="A35" s="264" t="s">
        <v>13</v>
      </c>
      <c r="B35" s="194" t="s">
        <v>53</v>
      </c>
      <c r="C35" s="194"/>
      <c r="D35" s="191">
        <v>1</v>
      </c>
      <c r="E35" s="239">
        <v>5000</v>
      </c>
      <c r="F35" s="239">
        <f t="shared" si="1"/>
        <v>5</v>
      </c>
      <c r="G35" s="240"/>
      <c r="H35" s="142" t="s">
        <v>340</v>
      </c>
      <c r="I35" s="264"/>
      <c r="J35" s="208"/>
    </row>
    <row r="36" spans="1:10" ht="16.5" customHeight="1">
      <c r="A36" s="264" t="s">
        <v>16</v>
      </c>
      <c r="B36" s="194" t="s">
        <v>54</v>
      </c>
      <c r="C36" s="194"/>
      <c r="D36" s="191">
        <v>1</v>
      </c>
      <c r="E36" s="239">
        <v>5000</v>
      </c>
      <c r="F36" s="239">
        <f t="shared" si="1"/>
        <v>5</v>
      </c>
      <c r="G36" s="240"/>
      <c r="H36" s="142" t="s">
        <v>340</v>
      </c>
      <c r="I36" s="264"/>
      <c r="J36" s="208"/>
    </row>
    <row r="37" spans="1:10">
      <c r="A37" s="264" t="s">
        <v>19</v>
      </c>
      <c r="B37" s="194" t="s">
        <v>55</v>
      </c>
      <c r="C37" s="194"/>
      <c r="D37" s="191">
        <v>1</v>
      </c>
      <c r="E37" s="239">
        <v>5000</v>
      </c>
      <c r="F37" s="239">
        <f t="shared" si="1"/>
        <v>5</v>
      </c>
      <c r="G37" s="240"/>
      <c r="H37" s="241" t="s">
        <v>340</v>
      </c>
      <c r="I37" s="264"/>
      <c r="J37" s="208"/>
    </row>
    <row r="38" spans="1:10" ht="16.5" customHeight="1">
      <c r="A38" s="267" t="s">
        <v>21</v>
      </c>
      <c r="B38" s="192" t="s">
        <v>128</v>
      </c>
      <c r="C38" s="192"/>
      <c r="D38" s="184">
        <v>1</v>
      </c>
      <c r="E38" s="242">
        <v>10000</v>
      </c>
      <c r="F38" s="242">
        <f t="shared" si="1"/>
        <v>10</v>
      </c>
      <c r="G38" s="243"/>
      <c r="H38" s="238" t="s">
        <v>340</v>
      </c>
      <c r="I38" s="264"/>
      <c r="J38" s="208"/>
    </row>
    <row r="39" spans="1:10" ht="16.5" customHeight="1">
      <c r="A39" s="264" t="s">
        <v>35</v>
      </c>
      <c r="B39" s="264" t="s">
        <v>56</v>
      </c>
      <c r="C39" s="264"/>
      <c r="D39" s="191"/>
      <c r="E39" s="239"/>
      <c r="F39" s="239">
        <f>SUM(F33:F38)</f>
        <v>90</v>
      </c>
      <c r="G39" s="240"/>
      <c r="H39" s="142"/>
      <c r="I39" s="264"/>
      <c r="J39" s="208"/>
    </row>
    <row r="40" spans="1:10" ht="16.5" hidden="1" customHeight="1">
      <c r="A40" s="264"/>
      <c r="B40" s="142"/>
      <c r="C40" s="142"/>
      <c r="D40" s="191"/>
      <c r="E40" s="239"/>
      <c r="F40" s="239"/>
      <c r="G40" s="240"/>
      <c r="H40" s="142"/>
      <c r="I40" s="264"/>
      <c r="J40" s="208"/>
    </row>
    <row r="41" spans="1:10" ht="16.5" hidden="1" customHeight="1">
      <c r="A41" s="12">
        <v>4</v>
      </c>
      <c r="B41" s="7" t="s">
        <v>132</v>
      </c>
      <c r="C41" s="7"/>
      <c r="D41" s="191"/>
      <c r="E41" s="239"/>
      <c r="F41" s="239"/>
      <c r="G41" s="240"/>
      <c r="H41" s="142"/>
      <c r="I41" s="264"/>
      <c r="J41" s="208"/>
    </row>
    <row r="42" spans="1:10" ht="16.5" hidden="1" customHeight="1">
      <c r="A42" s="264" t="s">
        <v>8</v>
      </c>
      <c r="B42" s="194" t="s">
        <v>133</v>
      </c>
      <c r="C42" s="194" t="s">
        <v>23</v>
      </c>
      <c r="D42" s="191"/>
      <c r="E42" s="239">
        <v>40</v>
      </c>
      <c r="F42" s="239">
        <f>0.001*D42*E42</f>
        <v>0</v>
      </c>
      <c r="G42" s="240"/>
      <c r="H42" s="142" t="s">
        <v>10</v>
      </c>
      <c r="I42" s="264"/>
      <c r="J42" s="208"/>
    </row>
    <row r="43" spans="1:10" ht="16.5" hidden="1" customHeight="1">
      <c r="A43" s="264" t="s">
        <v>11</v>
      </c>
      <c r="B43" s="194" t="s">
        <v>24</v>
      </c>
      <c r="C43" s="194" t="s">
        <v>27</v>
      </c>
      <c r="D43" s="191"/>
      <c r="E43" s="239">
        <v>15</v>
      </c>
      <c r="F43" s="239">
        <f>0.001*D43*E43</f>
        <v>0</v>
      </c>
      <c r="G43" s="240"/>
      <c r="H43" s="142" t="s">
        <v>10</v>
      </c>
      <c r="I43" s="264"/>
      <c r="J43" s="208"/>
    </row>
    <row r="44" spans="1:10" ht="16.5" hidden="1" customHeight="1">
      <c r="A44" s="264" t="s">
        <v>13</v>
      </c>
      <c r="B44" s="194" t="s">
        <v>134</v>
      </c>
      <c r="C44" s="194" t="s">
        <v>27</v>
      </c>
      <c r="D44" s="191"/>
      <c r="E44" s="239">
        <v>450</v>
      </c>
      <c r="F44" s="239">
        <f>0.001*D44*E44</f>
        <v>0</v>
      </c>
      <c r="G44" s="240"/>
      <c r="H44" s="142" t="s">
        <v>10</v>
      </c>
      <c r="I44" s="264"/>
      <c r="J44" s="208"/>
    </row>
    <row r="45" spans="1:10" hidden="1">
      <c r="A45" s="264" t="s">
        <v>16</v>
      </c>
      <c r="B45" s="194" t="s">
        <v>135</v>
      </c>
      <c r="C45" s="194"/>
      <c r="D45" s="191"/>
      <c r="E45" s="239"/>
      <c r="F45" s="239">
        <f>0.001*D45*E45</f>
        <v>0</v>
      </c>
      <c r="G45" s="240"/>
      <c r="H45" s="142"/>
      <c r="I45" s="264"/>
      <c r="J45" s="208"/>
    </row>
    <row r="46" spans="1:10" ht="16.5" hidden="1" customHeight="1">
      <c r="A46" s="267" t="s">
        <v>19</v>
      </c>
      <c r="B46" s="192" t="s">
        <v>20</v>
      </c>
      <c r="C46" s="192"/>
      <c r="D46" s="184"/>
      <c r="E46" s="242"/>
      <c r="F46" s="242">
        <f>0.001*D46*E46</f>
        <v>0</v>
      </c>
      <c r="G46" s="243"/>
      <c r="H46" s="238"/>
      <c r="I46" s="264"/>
      <c r="J46" s="208"/>
    </row>
    <row r="47" spans="1:10" ht="16.5" hidden="1" customHeight="1">
      <c r="A47" s="264" t="s">
        <v>21</v>
      </c>
      <c r="B47" s="264" t="s">
        <v>136</v>
      </c>
      <c r="C47" s="264"/>
      <c r="D47" s="191"/>
      <c r="E47" s="239"/>
      <c r="F47" s="239">
        <f>SUM(F42:F46)</f>
        <v>0</v>
      </c>
      <c r="G47" s="240"/>
      <c r="H47" s="142"/>
      <c r="I47" s="264"/>
      <c r="J47" s="208"/>
    </row>
    <row r="48" spans="1:10" ht="16.5" hidden="1" customHeight="1">
      <c r="A48" s="264"/>
      <c r="B48" s="142"/>
      <c r="C48" s="142"/>
      <c r="D48" s="191"/>
      <c r="E48" s="239"/>
      <c r="F48" s="239"/>
      <c r="G48" s="240"/>
      <c r="H48" s="142"/>
      <c r="I48" s="264"/>
      <c r="J48" s="208"/>
    </row>
    <row r="49" spans="1:10" ht="16.5" hidden="1" customHeight="1">
      <c r="A49" s="12">
        <v>5</v>
      </c>
      <c r="B49" s="7" t="s">
        <v>137</v>
      </c>
      <c r="C49" s="7"/>
      <c r="D49" s="191"/>
      <c r="E49" s="239"/>
      <c r="F49" s="239"/>
      <c r="G49" s="240"/>
      <c r="H49" s="142"/>
      <c r="I49" s="264"/>
      <c r="J49" s="208"/>
    </row>
    <row r="50" spans="1:10" ht="16.5" hidden="1" customHeight="1">
      <c r="A50" s="264" t="s">
        <v>8</v>
      </c>
      <c r="B50" s="172" t="s">
        <v>138</v>
      </c>
      <c r="C50" s="172"/>
      <c r="D50" s="191"/>
      <c r="E50" s="239">
        <v>1000</v>
      </c>
      <c r="F50" s="239">
        <f t="shared" ref="F50:F55" si="2">0.001*D50*E50</f>
        <v>0</v>
      </c>
      <c r="G50" s="240"/>
      <c r="H50" s="142" t="s">
        <v>10</v>
      </c>
      <c r="I50" s="264"/>
      <c r="J50" s="208"/>
    </row>
    <row r="51" spans="1:10" ht="16.5" hidden="1" customHeight="1">
      <c r="A51" s="264" t="s">
        <v>11</v>
      </c>
      <c r="B51" s="194" t="s">
        <v>17</v>
      </c>
      <c r="C51" s="194" t="s">
        <v>18</v>
      </c>
      <c r="D51" s="191"/>
      <c r="E51" s="239">
        <v>5</v>
      </c>
      <c r="F51" s="239">
        <f t="shared" si="2"/>
        <v>0</v>
      </c>
      <c r="G51" s="240"/>
      <c r="H51" s="142" t="s">
        <v>139</v>
      </c>
      <c r="I51" s="264"/>
      <c r="J51" s="208"/>
    </row>
    <row r="52" spans="1:10" ht="16.5" hidden="1" customHeight="1">
      <c r="A52" s="264" t="s">
        <v>13</v>
      </c>
      <c r="B52" s="172" t="s">
        <v>140</v>
      </c>
      <c r="C52" s="172" t="s">
        <v>15</v>
      </c>
      <c r="D52" s="191"/>
      <c r="E52" s="239">
        <v>6201</v>
      </c>
      <c r="F52" s="239">
        <f t="shared" si="2"/>
        <v>0</v>
      </c>
      <c r="G52" s="240"/>
      <c r="H52" s="142" t="s">
        <v>10</v>
      </c>
      <c r="I52" s="264"/>
      <c r="J52" s="208"/>
    </row>
    <row r="53" spans="1:10" ht="16.5" hidden="1" customHeight="1">
      <c r="A53" s="264" t="s">
        <v>16</v>
      </c>
      <c r="B53" s="172" t="s">
        <v>24</v>
      </c>
      <c r="C53" s="172" t="s">
        <v>27</v>
      </c>
      <c r="D53" s="175"/>
      <c r="E53" s="239">
        <v>15</v>
      </c>
      <c r="F53" s="239">
        <f t="shared" si="2"/>
        <v>0</v>
      </c>
      <c r="G53" s="240"/>
      <c r="H53" s="142" t="s">
        <v>139</v>
      </c>
      <c r="I53" s="264"/>
      <c r="J53" s="208"/>
    </row>
    <row r="54" spans="1:10" ht="16.5" hidden="1" customHeight="1">
      <c r="A54" s="264" t="s">
        <v>19</v>
      </c>
      <c r="B54" s="172" t="s">
        <v>141</v>
      </c>
      <c r="C54" s="172" t="s">
        <v>27</v>
      </c>
      <c r="D54" s="175"/>
      <c r="E54" s="239">
        <v>40</v>
      </c>
      <c r="F54" s="239">
        <f t="shared" si="2"/>
        <v>0</v>
      </c>
      <c r="G54" s="240"/>
      <c r="H54" s="142" t="s">
        <v>139</v>
      </c>
      <c r="I54" s="264"/>
      <c r="J54" s="208"/>
    </row>
    <row r="55" spans="1:10" ht="16.5" hidden="1" customHeight="1">
      <c r="A55" s="267" t="s">
        <v>21</v>
      </c>
      <c r="B55" s="192" t="s">
        <v>20</v>
      </c>
      <c r="C55" s="192"/>
      <c r="D55" s="184"/>
      <c r="E55" s="242"/>
      <c r="F55" s="242">
        <f t="shared" si="2"/>
        <v>0</v>
      </c>
      <c r="G55" s="243"/>
      <c r="H55" s="238"/>
      <c r="I55" s="264"/>
      <c r="J55" s="208"/>
    </row>
    <row r="56" spans="1:10" ht="16.5" hidden="1" customHeight="1">
      <c r="A56" s="264" t="s">
        <v>35</v>
      </c>
      <c r="B56" s="265" t="s">
        <v>142</v>
      </c>
      <c r="C56" s="265"/>
      <c r="D56" s="191"/>
      <c r="E56" s="239"/>
      <c r="F56" s="239">
        <f>SUM(F50:F55)</f>
        <v>0</v>
      </c>
      <c r="G56" s="240"/>
      <c r="H56" s="142"/>
      <c r="I56" s="264"/>
      <c r="J56" s="208"/>
    </row>
    <row r="57" spans="1:10" ht="16.5" hidden="1" customHeight="1">
      <c r="A57" s="264"/>
      <c r="B57" s="142"/>
      <c r="C57" s="142"/>
      <c r="D57" s="191"/>
      <c r="E57" s="239"/>
      <c r="F57" s="239"/>
      <c r="G57" s="240"/>
      <c r="H57" s="142"/>
      <c r="I57" s="264"/>
      <c r="J57" s="208"/>
    </row>
    <row r="58" spans="1:10" hidden="1">
      <c r="A58" s="12">
        <v>5</v>
      </c>
      <c r="B58" s="7" t="s">
        <v>143</v>
      </c>
      <c r="C58" s="7"/>
      <c r="D58" s="191"/>
      <c r="E58" s="239"/>
      <c r="F58" s="239"/>
      <c r="G58" s="240"/>
      <c r="H58" s="142"/>
      <c r="I58" s="264"/>
      <c r="J58" s="208"/>
    </row>
    <row r="59" spans="1:10" ht="16.5" hidden="1" customHeight="1">
      <c r="A59" s="264" t="s">
        <v>8</v>
      </c>
      <c r="B59" s="172" t="s">
        <v>138</v>
      </c>
      <c r="C59" s="172"/>
      <c r="D59" s="191"/>
      <c r="E59" s="239">
        <v>1000</v>
      </c>
      <c r="F59" s="239">
        <f t="shared" ref="F59:F64" si="3">0.001*D59*E59</f>
        <v>0</v>
      </c>
      <c r="G59" s="240"/>
      <c r="H59" s="142" t="s">
        <v>10</v>
      </c>
      <c r="I59" s="264"/>
      <c r="J59" s="208"/>
    </row>
    <row r="60" spans="1:10" ht="16.5" hidden="1" customHeight="1">
      <c r="A60" s="264" t="s">
        <v>11</v>
      </c>
      <c r="B60" s="194" t="s">
        <v>17</v>
      </c>
      <c r="C60" s="194" t="s">
        <v>18</v>
      </c>
      <c r="D60" s="191"/>
      <c r="E60" s="239">
        <v>5</v>
      </c>
      <c r="F60" s="239">
        <f t="shared" si="3"/>
        <v>0</v>
      </c>
      <c r="G60" s="240"/>
      <c r="H60" s="142" t="s">
        <v>139</v>
      </c>
      <c r="I60" s="264"/>
      <c r="J60" s="208"/>
    </row>
    <row r="61" spans="1:10" ht="16.5" hidden="1" customHeight="1">
      <c r="A61" s="264" t="s">
        <v>13</v>
      </c>
      <c r="B61" s="172" t="s">
        <v>140</v>
      </c>
      <c r="C61" s="172" t="s">
        <v>15</v>
      </c>
      <c r="D61" s="191"/>
      <c r="E61" s="239">
        <v>6201</v>
      </c>
      <c r="F61" s="239">
        <f t="shared" si="3"/>
        <v>0</v>
      </c>
      <c r="G61" s="240"/>
      <c r="H61" s="142" t="s">
        <v>10</v>
      </c>
      <c r="I61" s="264"/>
      <c r="J61" s="208"/>
    </row>
    <row r="62" spans="1:10" ht="16.5" hidden="1" customHeight="1">
      <c r="A62" s="264" t="s">
        <v>16</v>
      </c>
      <c r="B62" s="172" t="s">
        <v>24</v>
      </c>
      <c r="C62" s="172" t="s">
        <v>27</v>
      </c>
      <c r="D62" s="175"/>
      <c r="E62" s="239">
        <v>15</v>
      </c>
      <c r="F62" s="239">
        <f t="shared" si="3"/>
        <v>0</v>
      </c>
      <c r="G62" s="240"/>
      <c r="H62" s="142" t="s">
        <v>139</v>
      </c>
      <c r="I62" s="264"/>
      <c r="J62" s="208"/>
    </row>
    <row r="63" spans="1:10" hidden="1">
      <c r="A63" s="264" t="s">
        <v>19</v>
      </c>
      <c r="B63" s="172" t="s">
        <v>141</v>
      </c>
      <c r="C63" s="172" t="s">
        <v>27</v>
      </c>
      <c r="D63" s="175"/>
      <c r="E63" s="239">
        <v>40</v>
      </c>
      <c r="F63" s="239">
        <f t="shared" si="3"/>
        <v>0</v>
      </c>
      <c r="G63" s="240"/>
      <c r="H63" s="142" t="s">
        <v>139</v>
      </c>
      <c r="I63" s="264"/>
      <c r="J63" s="208"/>
    </row>
    <row r="64" spans="1:10" ht="16.5" hidden="1" customHeight="1">
      <c r="A64" s="267" t="s">
        <v>21</v>
      </c>
      <c r="B64" s="192" t="s">
        <v>20</v>
      </c>
      <c r="C64" s="192"/>
      <c r="D64" s="184"/>
      <c r="E64" s="242"/>
      <c r="F64" s="242">
        <f t="shared" si="3"/>
        <v>0</v>
      </c>
      <c r="G64" s="243"/>
      <c r="H64" s="238"/>
      <c r="I64" s="264"/>
      <c r="J64" s="208"/>
    </row>
    <row r="65" spans="1:10" ht="16.5" hidden="1" customHeight="1">
      <c r="A65" s="264" t="s">
        <v>35</v>
      </c>
      <c r="B65" s="265" t="s">
        <v>144</v>
      </c>
      <c r="C65" s="265"/>
      <c r="D65" s="191"/>
      <c r="E65" s="239"/>
      <c r="F65" s="239">
        <f>SUM(F59:F64)</f>
        <v>0</v>
      </c>
      <c r="G65" s="240"/>
      <c r="H65" s="142"/>
      <c r="I65" s="264"/>
      <c r="J65" s="208"/>
    </row>
    <row r="66" spans="1:10" ht="16.5" hidden="1" customHeight="1">
      <c r="A66" s="264"/>
      <c r="B66" s="142"/>
      <c r="C66" s="142"/>
      <c r="D66" s="191"/>
      <c r="E66" s="239"/>
      <c r="F66" s="239"/>
      <c r="G66" s="240"/>
      <c r="H66" s="142"/>
      <c r="I66" s="264"/>
      <c r="J66" s="208"/>
    </row>
    <row r="67" spans="1:10" ht="16.5" hidden="1" customHeight="1">
      <c r="A67" s="12">
        <v>7</v>
      </c>
      <c r="B67" s="7" t="s">
        <v>145</v>
      </c>
      <c r="C67" s="7"/>
      <c r="D67" s="191"/>
      <c r="E67" s="239"/>
      <c r="F67" s="239"/>
      <c r="G67" s="240"/>
      <c r="H67" s="142"/>
      <c r="I67" s="264"/>
      <c r="J67" s="208"/>
    </row>
    <row r="68" spans="1:10" ht="16.5" hidden="1" customHeight="1">
      <c r="A68" s="264" t="s">
        <v>8</v>
      </c>
      <c r="B68" s="172" t="s">
        <v>140</v>
      </c>
      <c r="C68" s="172" t="s">
        <v>15</v>
      </c>
      <c r="D68" s="191"/>
      <c r="E68" s="239">
        <v>6200</v>
      </c>
      <c r="F68" s="239">
        <f>0.001*D68*E68</f>
        <v>0</v>
      </c>
      <c r="G68" s="240"/>
      <c r="H68" s="142" t="s">
        <v>10</v>
      </c>
      <c r="I68" s="264"/>
      <c r="J68" s="208"/>
    </row>
    <row r="69" spans="1:10" ht="16.5" hidden="1" customHeight="1">
      <c r="A69" s="264" t="s">
        <v>11</v>
      </c>
      <c r="B69" s="172" t="s">
        <v>24</v>
      </c>
      <c r="C69" s="172" t="s">
        <v>27</v>
      </c>
      <c r="D69" s="175"/>
      <c r="E69" s="239">
        <v>20</v>
      </c>
      <c r="F69" s="239">
        <f>0.001*D69*E69</f>
        <v>0</v>
      </c>
      <c r="G69" s="240"/>
      <c r="H69" s="142" t="s">
        <v>146</v>
      </c>
      <c r="I69" s="264"/>
      <c r="J69" s="208"/>
    </row>
    <row r="70" spans="1:10" hidden="1">
      <c r="A70" s="264" t="s">
        <v>13</v>
      </c>
      <c r="B70" s="194" t="s">
        <v>147</v>
      </c>
      <c r="C70" s="194" t="s">
        <v>27</v>
      </c>
      <c r="D70" s="175"/>
      <c r="E70" s="239">
        <v>40</v>
      </c>
      <c r="F70" s="239">
        <f>0.001*D70*E70</f>
        <v>0</v>
      </c>
      <c r="G70" s="240"/>
      <c r="H70" s="142" t="s">
        <v>146</v>
      </c>
      <c r="I70" s="264"/>
      <c r="J70" s="208"/>
    </row>
    <row r="71" spans="1:10" ht="16.5" hidden="1" customHeight="1">
      <c r="A71" s="264" t="s">
        <v>16</v>
      </c>
      <c r="B71" s="194" t="s">
        <v>57</v>
      </c>
      <c r="C71" s="194" t="s">
        <v>27</v>
      </c>
      <c r="D71" s="191"/>
      <c r="E71" s="239">
        <v>450</v>
      </c>
      <c r="F71" s="239">
        <f>0.001*D71*E71</f>
        <v>0</v>
      </c>
      <c r="G71" s="240"/>
      <c r="H71" s="142" t="s">
        <v>10</v>
      </c>
      <c r="I71" s="264"/>
      <c r="J71" s="208"/>
    </row>
    <row r="72" spans="1:10" ht="16.5" hidden="1" customHeight="1">
      <c r="A72" s="267" t="s">
        <v>16</v>
      </c>
      <c r="B72" s="192" t="s">
        <v>20</v>
      </c>
      <c r="C72" s="192"/>
      <c r="D72" s="184"/>
      <c r="E72" s="242"/>
      <c r="F72" s="242">
        <f>0.001*D72*E72</f>
        <v>0</v>
      </c>
      <c r="G72" s="243"/>
      <c r="H72" s="238"/>
      <c r="I72" s="264"/>
      <c r="J72" s="208"/>
    </row>
    <row r="73" spans="1:10" ht="16.5" hidden="1" customHeight="1">
      <c r="A73" s="264" t="s">
        <v>19</v>
      </c>
      <c r="B73" s="264" t="s">
        <v>148</v>
      </c>
      <c r="C73" s="264"/>
      <c r="D73" s="191"/>
      <c r="E73" s="239"/>
      <c r="F73" s="239">
        <f>SUM(F68:F72)</f>
        <v>0</v>
      </c>
      <c r="G73" s="240"/>
      <c r="H73" s="142"/>
      <c r="I73" s="264"/>
      <c r="J73" s="208"/>
    </row>
    <row r="74" spans="1:10" ht="16.5" customHeight="1">
      <c r="A74" s="264"/>
      <c r="B74" s="142"/>
      <c r="C74" s="142"/>
      <c r="D74" s="191"/>
      <c r="E74" s="239"/>
      <c r="F74" s="239"/>
      <c r="G74" s="240"/>
      <c r="H74" s="142"/>
      <c r="I74" s="264"/>
      <c r="J74" s="208"/>
    </row>
    <row r="75" spans="1:10" ht="16.5" customHeight="1">
      <c r="A75" s="12">
        <v>8</v>
      </c>
      <c r="B75" s="7" t="s">
        <v>58</v>
      </c>
      <c r="C75" s="7"/>
      <c r="D75" s="191"/>
      <c r="E75" s="239"/>
      <c r="F75" s="239"/>
      <c r="G75" s="240"/>
      <c r="H75" s="142"/>
      <c r="I75" s="264"/>
      <c r="J75" s="208"/>
    </row>
    <row r="76" spans="1:10" ht="16.5" customHeight="1">
      <c r="A76" s="264" t="s">
        <v>8</v>
      </c>
      <c r="B76" s="194" t="s">
        <v>163</v>
      </c>
      <c r="C76" s="194"/>
      <c r="D76" s="191">
        <v>1</v>
      </c>
      <c r="E76" s="239">
        <v>15000</v>
      </c>
      <c r="F76" s="239">
        <f t="shared" ref="F76:F81" si="4">0.001*D76*E76</f>
        <v>15</v>
      </c>
      <c r="G76" s="240"/>
      <c r="H76" s="142" t="s">
        <v>261</v>
      </c>
      <c r="I76" s="264"/>
      <c r="J76" s="208"/>
    </row>
    <row r="77" spans="1:10" ht="16.5" customHeight="1">
      <c r="A77" s="264" t="s">
        <v>11</v>
      </c>
      <c r="B77" s="194" t="s">
        <v>59</v>
      </c>
      <c r="C77" s="194"/>
      <c r="D77" s="191">
        <v>0</v>
      </c>
      <c r="E77" s="239">
        <v>20000</v>
      </c>
      <c r="F77" s="239">
        <f t="shared" si="4"/>
        <v>0</v>
      </c>
      <c r="G77" s="240"/>
      <c r="H77" s="142" t="s">
        <v>245</v>
      </c>
      <c r="I77" s="264"/>
      <c r="J77" s="208"/>
    </row>
    <row r="78" spans="1:10" ht="16.5" customHeight="1">
      <c r="A78" s="264" t="s">
        <v>13</v>
      </c>
      <c r="B78" s="194" t="s">
        <v>60</v>
      </c>
      <c r="C78" s="194"/>
      <c r="D78" s="191">
        <v>0</v>
      </c>
      <c r="E78" s="239">
        <v>5000</v>
      </c>
      <c r="F78" s="239">
        <f t="shared" si="4"/>
        <v>0</v>
      </c>
      <c r="G78" s="240"/>
      <c r="H78" s="142" t="s">
        <v>258</v>
      </c>
      <c r="I78" s="264"/>
      <c r="J78" s="208"/>
    </row>
    <row r="79" spans="1:10" ht="16.5" customHeight="1">
      <c r="A79" s="264" t="s">
        <v>16</v>
      </c>
      <c r="B79" s="194" t="s">
        <v>61</v>
      </c>
      <c r="C79" s="194" t="s">
        <v>15</v>
      </c>
      <c r="D79" s="191">
        <v>0</v>
      </c>
      <c r="E79" s="239">
        <v>60000</v>
      </c>
      <c r="F79" s="239">
        <f t="shared" si="4"/>
        <v>0</v>
      </c>
      <c r="G79" s="240"/>
      <c r="H79" s="142" t="s">
        <v>258</v>
      </c>
      <c r="I79" s="264"/>
      <c r="J79" s="208"/>
    </row>
    <row r="80" spans="1:10" ht="16.5" customHeight="1">
      <c r="A80" s="264" t="s">
        <v>19</v>
      </c>
      <c r="B80" s="194" t="s">
        <v>62</v>
      </c>
      <c r="C80" s="194"/>
      <c r="D80" s="191">
        <v>0</v>
      </c>
      <c r="E80" s="239">
        <v>7500</v>
      </c>
      <c r="F80" s="239">
        <f t="shared" si="4"/>
        <v>0</v>
      </c>
      <c r="G80" s="240"/>
      <c r="H80" s="142" t="s">
        <v>258</v>
      </c>
      <c r="I80" s="264"/>
      <c r="J80" s="208"/>
    </row>
    <row r="81" spans="1:10" ht="16.5" customHeight="1">
      <c r="A81" s="267" t="s">
        <v>21</v>
      </c>
      <c r="B81" s="192" t="s">
        <v>149</v>
      </c>
      <c r="C81" s="192"/>
      <c r="D81" s="184">
        <v>0</v>
      </c>
      <c r="E81" s="242">
        <v>7500</v>
      </c>
      <c r="F81" s="242">
        <f t="shared" si="4"/>
        <v>0</v>
      </c>
      <c r="G81" s="243"/>
      <c r="H81" s="238" t="s">
        <v>258</v>
      </c>
      <c r="I81" s="264"/>
      <c r="J81" s="208"/>
    </row>
    <row r="82" spans="1:10" ht="16.5" customHeight="1">
      <c r="A82" s="264" t="s">
        <v>35</v>
      </c>
      <c r="B82" s="264" t="s">
        <v>63</v>
      </c>
      <c r="C82" s="142"/>
      <c r="D82" s="191"/>
      <c r="E82" s="239"/>
      <c r="F82" s="239">
        <f>SUM(F76:F81)</f>
        <v>15</v>
      </c>
      <c r="G82" s="240"/>
      <c r="H82" s="142"/>
      <c r="I82" s="264"/>
      <c r="J82" s="208"/>
    </row>
    <row r="83" spans="1:10" ht="16.5" customHeight="1">
      <c r="A83" s="264"/>
      <c r="B83" s="142"/>
      <c r="C83" s="142"/>
      <c r="D83" s="191"/>
      <c r="E83" s="239"/>
      <c r="F83" s="239"/>
      <c r="G83" s="240"/>
      <c r="H83" s="142"/>
      <c r="I83" s="264"/>
      <c r="J83" s="208"/>
    </row>
    <row r="84" spans="1:10" ht="16.5" customHeight="1">
      <c r="A84" s="12">
        <v>9</v>
      </c>
      <c r="B84" s="7" t="s">
        <v>247</v>
      </c>
      <c r="C84" s="7"/>
      <c r="D84" s="191"/>
      <c r="E84" s="239"/>
      <c r="F84" s="239"/>
      <c r="G84" s="240"/>
      <c r="H84" s="142"/>
      <c r="I84" s="264"/>
      <c r="J84" s="208"/>
    </row>
    <row r="85" spans="1:10" ht="16.5" customHeight="1">
      <c r="A85" s="264" t="s">
        <v>8</v>
      </c>
      <c r="B85" s="172" t="s">
        <v>248</v>
      </c>
      <c r="C85" s="172" t="s">
        <v>64</v>
      </c>
      <c r="D85" s="191">
        <v>0</v>
      </c>
      <c r="E85" s="239">
        <v>50000</v>
      </c>
      <c r="F85" s="239">
        <f t="shared" ref="F85:F90" si="5">0.001*D85*E85</f>
        <v>0</v>
      </c>
      <c r="G85" s="240"/>
      <c r="H85" s="142" t="s">
        <v>258</v>
      </c>
      <c r="I85" s="264"/>
      <c r="J85" s="208"/>
    </row>
    <row r="86" spans="1:10" ht="16.5" customHeight="1">
      <c r="A86" s="264" t="s">
        <v>11</v>
      </c>
      <c r="B86" s="172" t="s">
        <v>65</v>
      </c>
      <c r="C86" s="172" t="s">
        <v>64</v>
      </c>
      <c r="D86" s="191">
        <v>0</v>
      </c>
      <c r="E86" s="239">
        <v>75000</v>
      </c>
      <c r="F86" s="239">
        <f t="shared" si="5"/>
        <v>0</v>
      </c>
      <c r="G86" s="240"/>
      <c r="H86" s="142" t="s">
        <v>258</v>
      </c>
      <c r="I86" s="264"/>
      <c r="J86" s="208"/>
    </row>
    <row r="87" spans="1:10" ht="16.5" customHeight="1">
      <c r="A87" s="264" t="s">
        <v>13</v>
      </c>
      <c r="B87" s="172" t="s">
        <v>249</v>
      </c>
      <c r="C87" s="172"/>
      <c r="D87" s="191">
        <v>0</v>
      </c>
      <c r="E87" s="239">
        <v>50000</v>
      </c>
      <c r="F87" s="239">
        <f t="shared" si="5"/>
        <v>0</v>
      </c>
      <c r="G87" s="240"/>
      <c r="H87" s="142" t="s">
        <v>258</v>
      </c>
      <c r="I87" s="264"/>
      <c r="J87" s="208"/>
    </row>
    <row r="88" spans="1:10">
      <c r="A88" s="264" t="s">
        <v>16</v>
      </c>
      <c r="B88" s="172" t="s">
        <v>250</v>
      </c>
      <c r="C88" s="172"/>
      <c r="D88" s="191">
        <v>0</v>
      </c>
      <c r="E88" s="239">
        <v>25000</v>
      </c>
      <c r="F88" s="239">
        <f t="shared" si="5"/>
        <v>0</v>
      </c>
      <c r="G88" s="240"/>
      <c r="H88" s="142" t="s">
        <v>258</v>
      </c>
      <c r="I88" s="264"/>
      <c r="J88" s="208"/>
    </row>
    <row r="89" spans="1:10" ht="16.5" customHeight="1">
      <c r="A89" s="264" t="s">
        <v>19</v>
      </c>
      <c r="B89" s="172" t="s">
        <v>66</v>
      </c>
      <c r="C89" s="172"/>
      <c r="D89" s="191">
        <v>0</v>
      </c>
      <c r="E89" s="239">
        <v>5000</v>
      </c>
      <c r="F89" s="239">
        <f t="shared" si="5"/>
        <v>0</v>
      </c>
      <c r="G89" s="240"/>
      <c r="H89" s="142" t="s">
        <v>258</v>
      </c>
      <c r="I89" s="264"/>
      <c r="J89" s="208"/>
    </row>
    <row r="90" spans="1:10" ht="16.5" customHeight="1">
      <c r="A90" s="267" t="s">
        <v>21</v>
      </c>
      <c r="B90" s="192" t="s">
        <v>251</v>
      </c>
      <c r="C90" s="192"/>
      <c r="D90" s="184">
        <v>0</v>
      </c>
      <c r="E90" s="242">
        <v>50000</v>
      </c>
      <c r="F90" s="242">
        <f t="shared" si="5"/>
        <v>0</v>
      </c>
      <c r="G90" s="243"/>
      <c r="H90" s="238" t="s">
        <v>258</v>
      </c>
      <c r="I90" s="264"/>
      <c r="J90" s="208"/>
    </row>
    <row r="91" spans="1:10" ht="16.5" customHeight="1">
      <c r="A91" s="264" t="s">
        <v>35</v>
      </c>
      <c r="B91" s="185" t="s">
        <v>259</v>
      </c>
      <c r="C91" s="265"/>
      <c r="D91" s="191"/>
      <c r="E91" s="239"/>
      <c r="F91" s="239">
        <f>SUM(F85:F90)</f>
        <v>0</v>
      </c>
      <c r="G91" s="240"/>
      <c r="H91" s="142"/>
      <c r="I91" s="264"/>
      <c r="J91" s="208"/>
    </row>
    <row r="92" spans="1:10" ht="16.5" customHeight="1">
      <c r="A92" s="264"/>
      <c r="B92" s="142"/>
      <c r="C92" s="142"/>
      <c r="D92" s="191"/>
      <c r="E92" s="239"/>
      <c r="F92" s="239"/>
      <c r="G92" s="240"/>
      <c r="H92" s="142"/>
      <c r="I92" s="264"/>
      <c r="J92" s="208"/>
    </row>
    <row r="93" spans="1:10" ht="16.5" customHeight="1">
      <c r="A93" s="12">
        <v>10</v>
      </c>
      <c r="B93" s="7" t="s">
        <v>67</v>
      </c>
      <c r="C93" s="7"/>
      <c r="D93" s="191"/>
      <c r="E93" s="239"/>
      <c r="F93" s="239"/>
      <c r="G93" s="240"/>
      <c r="H93" s="142"/>
      <c r="I93" s="264"/>
      <c r="J93" s="208"/>
    </row>
    <row r="94" spans="1:10" ht="16.5" customHeight="1">
      <c r="A94" s="264" t="s">
        <v>8</v>
      </c>
      <c r="B94" s="172" t="s">
        <v>68</v>
      </c>
      <c r="C94" s="172"/>
      <c r="D94" s="246">
        <v>0</v>
      </c>
      <c r="E94" s="247">
        <v>5000</v>
      </c>
      <c r="F94" s="239">
        <f>0.001*D94*E94</f>
        <v>0</v>
      </c>
      <c r="G94" s="240"/>
      <c r="H94" s="142" t="s">
        <v>10</v>
      </c>
      <c r="I94" s="264"/>
      <c r="J94" s="208"/>
    </row>
    <row r="95" spans="1:10">
      <c r="A95" s="264" t="s">
        <v>11</v>
      </c>
      <c r="B95" s="172" t="s">
        <v>69</v>
      </c>
      <c r="C95" s="172"/>
      <c r="D95" s="246">
        <v>0</v>
      </c>
      <c r="E95" s="247"/>
      <c r="F95" s="239">
        <f>0.001*D95*E95</f>
        <v>0</v>
      </c>
      <c r="G95" s="240"/>
      <c r="I95" s="264"/>
      <c r="J95" s="208"/>
    </row>
    <row r="96" spans="1:10" ht="16.5" customHeight="1">
      <c r="A96" s="264" t="s">
        <v>13</v>
      </c>
      <c r="B96" s="172" t="s">
        <v>70</v>
      </c>
      <c r="C96" s="172"/>
      <c r="D96" s="246">
        <v>1</v>
      </c>
      <c r="E96" s="247">
        <v>5000</v>
      </c>
      <c r="F96" s="239">
        <f>0.001*D96*E96</f>
        <v>5</v>
      </c>
      <c r="G96" s="240"/>
      <c r="H96" s="142" t="s">
        <v>10</v>
      </c>
      <c r="I96" s="264"/>
      <c r="J96" s="208"/>
    </row>
    <row r="97" spans="1:10" ht="15.75" customHeight="1">
      <c r="A97" s="264" t="s">
        <v>16</v>
      </c>
      <c r="B97" s="172" t="s">
        <v>71</v>
      </c>
      <c r="C97" s="172"/>
      <c r="D97" s="246">
        <v>0</v>
      </c>
      <c r="E97" s="247">
        <v>10000</v>
      </c>
      <c r="F97" s="239">
        <f>0.001*D97*E97</f>
        <v>0</v>
      </c>
      <c r="G97" s="240"/>
      <c r="H97" s="142" t="s">
        <v>10</v>
      </c>
      <c r="I97" s="264"/>
      <c r="J97" s="208"/>
    </row>
    <row r="98" spans="1:10" ht="16.5" customHeight="1">
      <c r="A98" s="267" t="s">
        <v>19</v>
      </c>
      <c r="B98" s="192" t="s">
        <v>20</v>
      </c>
      <c r="C98" s="192"/>
      <c r="D98" s="184"/>
      <c r="E98" s="242"/>
      <c r="F98" s="242">
        <f>0.001*D98*E98</f>
        <v>0</v>
      </c>
      <c r="G98" s="243"/>
      <c r="H98" s="238"/>
      <c r="I98" s="264"/>
      <c r="J98" s="208"/>
    </row>
    <row r="99" spans="1:10" ht="16.5" customHeight="1">
      <c r="A99" s="264" t="s">
        <v>21</v>
      </c>
      <c r="B99" s="264" t="s">
        <v>72</v>
      </c>
      <c r="C99" s="264"/>
      <c r="D99" s="191"/>
      <c r="E99" s="239"/>
      <c r="F99" s="239">
        <f>SUM(F94:F98)</f>
        <v>5</v>
      </c>
      <c r="G99" s="240"/>
      <c r="H99" s="142"/>
      <c r="I99" s="264"/>
      <c r="J99" s="208"/>
    </row>
    <row r="100" spans="1:10" ht="16.5" customHeight="1">
      <c r="A100" s="142"/>
      <c r="B100" s="142"/>
      <c r="C100" s="142"/>
      <c r="D100" s="191"/>
      <c r="E100" s="239"/>
      <c r="F100" s="239"/>
      <c r="G100" s="240"/>
      <c r="H100" s="142"/>
      <c r="I100" s="264"/>
      <c r="J100" s="208"/>
    </row>
    <row r="101" spans="1:10" ht="16.5" customHeight="1">
      <c r="A101" s="12">
        <v>11</v>
      </c>
      <c r="B101" s="7" t="s">
        <v>73</v>
      </c>
      <c r="C101" s="7"/>
      <c r="D101" s="191"/>
      <c r="E101" s="239"/>
      <c r="F101" s="239"/>
      <c r="G101" s="240"/>
      <c r="H101" s="142"/>
      <c r="I101" s="264"/>
      <c r="J101" s="208"/>
    </row>
    <row r="102" spans="1:10" ht="16.5" customHeight="1">
      <c r="A102" s="264" t="s">
        <v>8</v>
      </c>
      <c r="B102" s="194" t="s">
        <v>14</v>
      </c>
      <c r="C102" s="194" t="s">
        <v>15</v>
      </c>
      <c r="D102" s="191">
        <v>0</v>
      </c>
      <c r="E102" s="239">
        <v>6200</v>
      </c>
      <c r="F102" s="239">
        <f>0.001*D102*E102</f>
        <v>0</v>
      </c>
      <c r="G102" s="240"/>
      <c r="H102" s="142" t="s">
        <v>244</v>
      </c>
      <c r="I102" s="264"/>
      <c r="J102" s="208"/>
    </row>
    <row r="103" spans="1:10" ht="16.5" customHeight="1">
      <c r="A103" s="264" t="s">
        <v>11</v>
      </c>
      <c r="B103" s="194" t="s">
        <v>74</v>
      </c>
      <c r="C103" s="194"/>
      <c r="D103" s="191">
        <v>4</v>
      </c>
      <c r="E103" s="239">
        <v>5000</v>
      </c>
      <c r="F103" s="239">
        <f>0.001*D103*E103</f>
        <v>20</v>
      </c>
      <c r="G103" s="240"/>
      <c r="H103" s="142" t="s">
        <v>261</v>
      </c>
      <c r="I103" s="264"/>
      <c r="J103" s="208"/>
    </row>
    <row r="104" spans="1:10" ht="16.5" customHeight="1">
      <c r="A104" s="264" t="s">
        <v>13</v>
      </c>
      <c r="B104" s="194" t="s">
        <v>75</v>
      </c>
      <c r="C104" s="194"/>
      <c r="D104" s="191">
        <v>0</v>
      </c>
      <c r="E104" s="239">
        <v>10000</v>
      </c>
      <c r="F104" s="239">
        <f>0.001*D104*E104</f>
        <v>0</v>
      </c>
      <c r="G104" s="240"/>
      <c r="H104" s="142" t="s">
        <v>244</v>
      </c>
      <c r="I104" s="264"/>
      <c r="J104" s="208"/>
    </row>
    <row r="105" spans="1:10" ht="16.5" customHeight="1">
      <c r="A105" s="264" t="s">
        <v>13</v>
      </c>
      <c r="B105" s="194" t="s">
        <v>76</v>
      </c>
      <c r="C105" s="194"/>
      <c r="D105" s="191">
        <v>0</v>
      </c>
      <c r="E105" s="239">
        <v>25000</v>
      </c>
      <c r="F105" s="239">
        <f>0.001*D105*E105</f>
        <v>0</v>
      </c>
      <c r="G105" s="240"/>
      <c r="H105" s="142" t="s">
        <v>244</v>
      </c>
      <c r="I105" s="264"/>
      <c r="J105" s="208"/>
    </row>
    <row r="106" spans="1:10" ht="16.5" customHeight="1">
      <c r="A106" s="267" t="s">
        <v>16</v>
      </c>
      <c r="B106" s="192" t="s">
        <v>20</v>
      </c>
      <c r="C106" s="192"/>
      <c r="D106" s="184">
        <v>0</v>
      </c>
      <c r="E106" s="242">
        <v>50000</v>
      </c>
      <c r="F106" s="242">
        <f>0.001*D106*E106</f>
        <v>0</v>
      </c>
      <c r="G106" s="243"/>
      <c r="H106" s="238" t="s">
        <v>244</v>
      </c>
      <c r="I106" s="264"/>
      <c r="J106" s="208"/>
    </row>
    <row r="107" spans="1:10">
      <c r="A107" s="264" t="s">
        <v>21</v>
      </c>
      <c r="B107" s="264" t="s">
        <v>77</v>
      </c>
      <c r="C107" s="264"/>
      <c r="D107" s="191"/>
      <c r="E107" s="239"/>
      <c r="F107" s="239">
        <f>SUM(F102:F106)</f>
        <v>20</v>
      </c>
      <c r="G107" s="240"/>
      <c r="H107" s="142"/>
      <c r="I107" s="264"/>
      <c r="J107" s="208"/>
    </row>
    <row r="108" spans="1:10" ht="16.5" customHeight="1">
      <c r="A108" s="142"/>
      <c r="B108" s="142"/>
      <c r="C108" s="142"/>
      <c r="D108" s="191"/>
      <c r="E108" s="239"/>
      <c r="F108" s="239"/>
      <c r="G108" s="240"/>
      <c r="H108" s="142"/>
      <c r="I108" s="264"/>
      <c r="J108" s="208"/>
    </row>
    <row r="109" spans="1:10" ht="16.5" customHeight="1">
      <c r="A109" s="12">
        <v>12</v>
      </c>
      <c r="B109" s="7" t="s">
        <v>78</v>
      </c>
      <c r="C109" s="7"/>
      <c r="D109" s="191"/>
      <c r="E109" s="239"/>
      <c r="F109" s="239"/>
      <c r="G109" s="240"/>
      <c r="H109" s="142"/>
      <c r="I109" s="264"/>
      <c r="J109" s="208"/>
    </row>
    <row r="110" spans="1:10" ht="16.5" customHeight="1">
      <c r="A110" s="264" t="s">
        <v>8</v>
      </c>
      <c r="B110" s="194" t="s">
        <v>79</v>
      </c>
      <c r="C110" s="194"/>
      <c r="D110" s="191">
        <v>1</v>
      </c>
      <c r="E110" s="239">
        <f>F130*1000*0.08</f>
        <v>17640</v>
      </c>
      <c r="F110" s="239">
        <f t="shared" ref="F110:F115" si="6">0.001*D110*E110</f>
        <v>17.64</v>
      </c>
      <c r="G110" s="240"/>
      <c r="H110" s="142" t="s">
        <v>164</v>
      </c>
      <c r="I110" s="264"/>
      <c r="J110" s="208"/>
    </row>
    <row r="111" spans="1:10">
      <c r="A111" s="264" t="s">
        <v>11</v>
      </c>
      <c r="B111" s="194" t="s">
        <v>80</v>
      </c>
      <c r="C111" s="194"/>
      <c r="D111" s="191">
        <v>1</v>
      </c>
      <c r="E111" s="239">
        <v>10000</v>
      </c>
      <c r="F111" s="239">
        <f>D111*(E111/1000)</f>
        <v>10</v>
      </c>
      <c r="G111" s="240"/>
      <c r="H111" s="142" t="s">
        <v>10</v>
      </c>
      <c r="I111" s="264"/>
      <c r="J111" s="208"/>
    </row>
    <row r="112" spans="1:10" ht="16.5" customHeight="1">
      <c r="A112" s="264" t="s">
        <v>13</v>
      </c>
      <c r="B112" s="194" t="s">
        <v>81</v>
      </c>
      <c r="C112" s="194"/>
      <c r="D112" s="191">
        <v>1</v>
      </c>
      <c r="E112" s="239">
        <v>20000</v>
      </c>
      <c r="F112" s="239">
        <f t="shared" si="6"/>
        <v>20</v>
      </c>
      <c r="G112" s="240"/>
      <c r="H112" s="142" t="s">
        <v>82</v>
      </c>
      <c r="I112" s="264"/>
      <c r="J112" s="208"/>
    </row>
    <row r="113" spans="1:10" ht="16.5" customHeight="1">
      <c r="A113" s="264" t="s">
        <v>16</v>
      </c>
      <c r="B113" s="194" t="s">
        <v>83</v>
      </c>
      <c r="C113" s="194"/>
      <c r="D113" s="191">
        <v>1</v>
      </c>
      <c r="E113" s="239">
        <v>10000</v>
      </c>
      <c r="F113" s="239">
        <f t="shared" si="6"/>
        <v>10</v>
      </c>
      <c r="G113" s="240"/>
      <c r="H113" s="142" t="s">
        <v>261</v>
      </c>
      <c r="I113" s="264"/>
      <c r="J113" s="208"/>
    </row>
    <row r="114" spans="1:10">
      <c r="A114" s="264" t="s">
        <v>19</v>
      </c>
      <c r="B114" s="194" t="s">
        <v>84</v>
      </c>
      <c r="C114" s="194"/>
      <c r="D114" s="191"/>
      <c r="E114" s="239"/>
      <c r="F114" s="239">
        <f t="shared" si="6"/>
        <v>0</v>
      </c>
      <c r="G114" s="240"/>
      <c r="H114" s="142"/>
      <c r="I114" s="264"/>
      <c r="J114" s="208"/>
    </row>
    <row r="115" spans="1:10" ht="16.5" customHeight="1">
      <c r="A115" s="267" t="s">
        <v>21</v>
      </c>
      <c r="B115" s="192" t="s">
        <v>20</v>
      </c>
      <c r="C115" s="192"/>
      <c r="D115" s="184"/>
      <c r="E115" s="242"/>
      <c r="F115" s="242">
        <f t="shared" si="6"/>
        <v>0</v>
      </c>
      <c r="G115" s="243"/>
      <c r="H115" s="238"/>
      <c r="I115" s="264"/>
      <c r="J115" s="208"/>
    </row>
    <row r="116" spans="1:10" ht="16.5" customHeight="1">
      <c r="A116" s="264" t="s">
        <v>35</v>
      </c>
      <c r="B116" s="264" t="s">
        <v>85</v>
      </c>
      <c r="C116" s="264"/>
      <c r="D116" s="191"/>
      <c r="E116" s="239"/>
      <c r="F116" s="239">
        <f>SUM(F110:F115)</f>
        <v>57.64</v>
      </c>
      <c r="G116" s="240"/>
      <c r="H116" s="142"/>
      <c r="I116" s="264"/>
      <c r="J116" s="208"/>
    </row>
    <row r="117" spans="1:10" ht="16.5" customHeight="1">
      <c r="A117" s="142"/>
      <c r="B117" s="142"/>
      <c r="C117" s="142"/>
      <c r="D117" s="191"/>
      <c r="E117" s="239"/>
      <c r="F117" s="239"/>
      <c r="G117" s="240"/>
      <c r="H117" s="142"/>
      <c r="I117" s="264"/>
      <c r="J117" s="208"/>
    </row>
    <row r="118" spans="1:10" ht="16.5" customHeight="1">
      <c r="A118" s="12"/>
      <c r="B118" s="7" t="s">
        <v>86</v>
      </c>
      <c r="C118" s="7"/>
      <c r="D118" s="191"/>
      <c r="E118" s="239"/>
      <c r="F118" s="239"/>
      <c r="G118" s="240"/>
      <c r="H118" s="142"/>
      <c r="I118" s="264"/>
      <c r="J118" s="208"/>
    </row>
    <row r="119" spans="1:10" ht="16.5" customHeight="1">
      <c r="A119" s="12">
        <f>A$2</f>
        <v>1</v>
      </c>
      <c r="B119" s="142" t="str">
        <f>B$2</f>
        <v>General</v>
      </c>
      <c r="C119" s="142"/>
      <c r="D119" s="191"/>
      <c r="E119" s="239"/>
      <c r="F119" s="239">
        <f>F$8</f>
        <v>14</v>
      </c>
      <c r="G119" s="240"/>
      <c r="H119" s="142"/>
      <c r="I119" s="264"/>
      <c r="J119" s="208"/>
    </row>
    <row r="120" spans="1:10" ht="16.5" customHeight="1">
      <c r="A120" s="12">
        <f>A$10</f>
        <v>2</v>
      </c>
      <c r="B120" s="142" t="str">
        <f>B$10</f>
        <v>Powerhouse/Intake</v>
      </c>
      <c r="C120" s="142"/>
      <c r="D120" s="191"/>
      <c r="E120" s="239"/>
      <c r="F120" s="239">
        <f>F$30</f>
        <v>76.5</v>
      </c>
      <c r="G120" s="240"/>
      <c r="H120" s="142"/>
      <c r="I120" s="264"/>
      <c r="J120" s="208"/>
    </row>
    <row r="121" spans="1:10" ht="16.5" customHeight="1">
      <c r="A121" s="12">
        <f>A$32</f>
        <v>3</v>
      </c>
      <c r="B121" s="142" t="str">
        <f>B$32</f>
        <v>Equipment</v>
      </c>
      <c r="C121" s="142"/>
      <c r="D121" s="191"/>
      <c r="E121" s="239"/>
      <c r="F121" s="239">
        <f>F$39</f>
        <v>90</v>
      </c>
      <c r="G121" s="240"/>
      <c r="H121" s="142"/>
      <c r="I121" s="264"/>
      <c r="J121" s="208"/>
    </row>
    <row r="122" spans="1:10" ht="16.5" hidden="1" customHeight="1">
      <c r="A122" s="43">
        <f>A$41</f>
        <v>4</v>
      </c>
      <c r="B122" s="176" t="str">
        <f>B$41</f>
        <v xml:space="preserve">Spillway </v>
      </c>
      <c r="E122" s="247"/>
      <c r="F122" s="247">
        <f>F$47</f>
        <v>0</v>
      </c>
      <c r="G122" s="273"/>
      <c r="I122" s="264"/>
      <c r="J122" s="208"/>
    </row>
    <row r="123" spans="1:10" ht="16.5" hidden="1" customHeight="1">
      <c r="A123" s="43">
        <f>A$49</f>
        <v>5</v>
      </c>
      <c r="B123" s="176" t="str">
        <f>B$49</f>
        <v>East (left) Dike</v>
      </c>
      <c r="E123" s="247"/>
      <c r="F123" s="247">
        <f>F$56</f>
        <v>0</v>
      </c>
      <c r="G123" s="274"/>
      <c r="I123" s="264"/>
      <c r="J123" s="208"/>
    </row>
    <row r="124" spans="1:10" ht="16.5" hidden="1" customHeight="1">
      <c r="A124" s="43">
        <f>A$58</f>
        <v>5</v>
      </c>
      <c r="B124" s="176" t="str">
        <f>B$58</f>
        <v>West (right) Dike</v>
      </c>
      <c r="E124" s="247"/>
      <c r="F124" s="247">
        <f>F$65</f>
        <v>0</v>
      </c>
      <c r="G124" s="274"/>
      <c r="I124" s="264"/>
      <c r="J124" s="208"/>
    </row>
    <row r="125" spans="1:10" ht="16.5" hidden="1" customHeight="1">
      <c r="A125" s="43">
        <f>A$67</f>
        <v>7</v>
      </c>
      <c r="B125" s="176" t="str">
        <f>B$67</f>
        <v>Canal</v>
      </c>
      <c r="E125" s="247"/>
      <c r="F125" s="247">
        <f>F$73</f>
        <v>0</v>
      </c>
      <c r="G125" s="274"/>
      <c r="I125" s="264"/>
      <c r="J125" s="208"/>
    </row>
    <row r="126" spans="1:10" ht="16.5" customHeight="1">
      <c r="A126" s="43">
        <f>A$75</f>
        <v>8</v>
      </c>
      <c r="B126" s="176" t="str">
        <f>B$75</f>
        <v>PM&amp;E Measures</v>
      </c>
      <c r="E126" s="247"/>
      <c r="F126" s="247">
        <f>F$82</f>
        <v>15</v>
      </c>
      <c r="G126" s="274"/>
      <c r="I126" s="264"/>
      <c r="J126" s="208"/>
    </row>
    <row r="127" spans="1:10" ht="16.5" customHeight="1">
      <c r="A127" s="43">
        <f>A$84</f>
        <v>9</v>
      </c>
      <c r="B127" s="176" t="s">
        <v>260</v>
      </c>
      <c r="E127" s="247"/>
      <c r="F127" s="247">
        <f>F$91</f>
        <v>0</v>
      </c>
      <c r="G127" s="274"/>
      <c r="I127" s="264"/>
      <c r="J127" s="208"/>
    </row>
    <row r="128" spans="1:10" ht="16.5" customHeight="1">
      <c r="A128" s="43">
        <f>A$93</f>
        <v>10</v>
      </c>
      <c r="B128" s="176" t="str">
        <f>B$93</f>
        <v>Land &amp; Land Rights</v>
      </c>
      <c r="E128" s="247"/>
      <c r="F128" s="247">
        <f>F$99</f>
        <v>5</v>
      </c>
      <c r="G128" s="274"/>
      <c r="I128" s="264"/>
      <c r="J128" s="208"/>
    </row>
    <row r="129" spans="1:10" ht="16.5" customHeight="1">
      <c r="A129" s="45">
        <f>A$101</f>
        <v>11</v>
      </c>
      <c r="B129" s="275" t="str">
        <f>B$101</f>
        <v>Interconnection</v>
      </c>
      <c r="C129" s="275"/>
      <c r="D129" s="276"/>
      <c r="E129" s="277"/>
      <c r="F129" s="277">
        <f>F$107</f>
        <v>20</v>
      </c>
      <c r="G129" s="278"/>
      <c r="H129" s="275" t="s">
        <v>257</v>
      </c>
      <c r="I129" s="264"/>
      <c r="J129" s="208"/>
    </row>
    <row r="130" spans="1:10" ht="16.5" customHeight="1">
      <c r="A130" s="43"/>
      <c r="B130" s="279" t="s">
        <v>87</v>
      </c>
      <c r="C130" s="279"/>
      <c r="E130" s="247"/>
      <c r="F130" s="247">
        <f>SUM(F119:F129)</f>
        <v>220.5</v>
      </c>
      <c r="G130" s="274"/>
      <c r="I130" s="264"/>
      <c r="J130" s="208"/>
    </row>
    <row r="131" spans="1:10" ht="16.5" customHeight="1">
      <c r="A131" s="43"/>
      <c r="B131" s="279"/>
      <c r="C131" s="279"/>
      <c r="E131" s="247"/>
      <c r="F131" s="247"/>
      <c r="G131" s="274"/>
      <c r="I131" s="264"/>
      <c r="J131" s="208"/>
    </row>
    <row r="132" spans="1:10" ht="16.5" customHeight="1">
      <c r="A132" s="45">
        <f>A$109</f>
        <v>12</v>
      </c>
      <c r="B132" s="275" t="str">
        <f>B$109</f>
        <v>Indirect Costs</v>
      </c>
      <c r="C132" s="275"/>
      <c r="D132" s="276"/>
      <c r="E132" s="277"/>
      <c r="F132" s="277">
        <f>F$116</f>
        <v>57.64</v>
      </c>
      <c r="G132" s="278"/>
      <c r="H132" s="275"/>
      <c r="I132" s="264"/>
      <c r="J132" s="208"/>
    </row>
    <row r="133" spans="1:10" ht="16.5" customHeight="1">
      <c r="A133" s="43"/>
      <c r="B133" s="279" t="s">
        <v>88</v>
      </c>
      <c r="C133" s="279"/>
      <c r="E133" s="247"/>
      <c r="F133" s="280">
        <f>F$130+F$132</f>
        <v>278.14</v>
      </c>
      <c r="G133" s="281"/>
      <c r="I133" s="264"/>
      <c r="J133" s="208"/>
    </row>
    <row r="134" spans="1:10" ht="16.5" customHeight="1">
      <c r="A134" s="43"/>
      <c r="B134" s="279"/>
      <c r="C134" s="279"/>
      <c r="E134" s="247"/>
      <c r="F134" s="280"/>
      <c r="G134" s="281"/>
      <c r="I134" s="264"/>
      <c r="J134" s="208"/>
    </row>
    <row r="135" spans="1:10" ht="16.5" customHeight="1">
      <c r="A135" s="45">
        <v>13</v>
      </c>
      <c r="B135" s="275" t="s">
        <v>89</v>
      </c>
      <c r="C135" s="275"/>
      <c r="D135" s="282">
        <f>F$133*1000</f>
        <v>278140</v>
      </c>
      <c r="E135" s="245">
        <v>0.2</v>
      </c>
      <c r="F135" s="277">
        <f>D135*E135*0.001</f>
        <v>55.628</v>
      </c>
      <c r="G135" s="278"/>
      <c r="H135" s="275"/>
      <c r="I135" s="264"/>
      <c r="J135" s="208"/>
    </row>
    <row r="136" spans="1:10" ht="16.5" customHeight="1">
      <c r="E136" s="247"/>
      <c r="F136" s="247"/>
      <c r="G136" s="274"/>
      <c r="I136" s="264"/>
      <c r="J136" s="208"/>
    </row>
    <row r="137" spans="1:10" ht="16.5" customHeight="1">
      <c r="A137" s="12"/>
      <c r="B137" s="50" t="s">
        <v>90</v>
      </c>
      <c r="C137" s="7"/>
      <c r="D137" s="191"/>
      <c r="E137" s="239"/>
      <c r="F137" s="60">
        <f>F$133+F$135</f>
        <v>333.76799999999997</v>
      </c>
      <c r="G137" s="8"/>
      <c r="H137" s="142"/>
      <c r="I137" s="264"/>
      <c r="J137" s="208"/>
    </row>
    <row r="138" spans="1:10">
      <c r="I138" s="264"/>
      <c r="J138" s="208"/>
    </row>
    <row r="139" spans="1:10">
      <c r="I139" s="264"/>
      <c r="J139" s="208"/>
    </row>
    <row r="140" spans="1:10">
      <c r="I140" s="264"/>
      <c r="J140" s="208"/>
    </row>
    <row r="141" spans="1:10">
      <c r="I141" s="264"/>
      <c r="J141" s="208"/>
    </row>
    <row r="142" spans="1:10">
      <c r="I142" s="264"/>
      <c r="J142" s="208"/>
    </row>
    <row r="143" spans="1:10">
      <c r="I143" s="264"/>
      <c r="J143" s="208"/>
    </row>
    <row r="144" spans="1:10">
      <c r="I144" s="264"/>
      <c r="J144" s="208"/>
    </row>
    <row r="145" spans="9:10">
      <c r="I145" s="264"/>
      <c r="J145" s="208"/>
    </row>
    <row r="146" spans="9:10">
      <c r="I146" s="264"/>
      <c r="J146" s="208"/>
    </row>
    <row r="147" spans="9:10">
      <c r="I147" s="264"/>
      <c r="J147" s="208"/>
    </row>
    <row r="148" spans="9:10">
      <c r="I148" s="264"/>
      <c r="J148" s="208"/>
    </row>
    <row r="149" spans="9:10">
      <c r="I149" s="264"/>
      <c r="J149" s="208"/>
    </row>
    <row r="150" spans="9:10">
      <c r="I150" s="264"/>
      <c r="J150" s="208"/>
    </row>
    <row r="151" spans="9:10">
      <c r="I151" s="264"/>
      <c r="J151" s="208"/>
    </row>
    <row r="152" spans="9:10">
      <c r="I152" s="264"/>
      <c r="J152" s="208"/>
    </row>
    <row r="153" spans="9:10">
      <c r="I153" s="264"/>
      <c r="J153" s="208"/>
    </row>
    <row r="154" spans="9:10">
      <c r="I154" s="264"/>
      <c r="J154" s="208"/>
    </row>
    <row r="155" spans="9:10">
      <c r="I155" s="264"/>
      <c r="J155" s="208"/>
    </row>
    <row r="156" spans="9:10">
      <c r="I156" s="264"/>
      <c r="J156" s="208"/>
    </row>
    <row r="157" spans="9:10">
      <c r="I157" s="264"/>
      <c r="J157" s="208"/>
    </row>
    <row r="158" spans="9:10">
      <c r="I158" s="264"/>
      <c r="J158" s="208"/>
    </row>
    <row r="159" spans="9:10">
      <c r="I159" s="264"/>
      <c r="J159" s="208"/>
    </row>
    <row r="160" spans="9:10">
      <c r="I160" s="264"/>
      <c r="J160" s="208"/>
    </row>
    <row r="161" spans="9:10">
      <c r="I161" s="264"/>
      <c r="J161" s="208"/>
    </row>
    <row r="162" spans="9:10">
      <c r="I162" s="264"/>
      <c r="J162" s="208"/>
    </row>
    <row r="163" spans="9:10">
      <c r="I163" s="264"/>
      <c r="J163" s="208"/>
    </row>
    <row r="164" spans="9:10">
      <c r="I164" s="264"/>
      <c r="J164" s="208"/>
    </row>
    <row r="165" spans="9:10">
      <c r="I165" s="264"/>
      <c r="J165" s="208"/>
    </row>
    <row r="166" spans="9:10">
      <c r="I166" s="264"/>
      <c r="J166" s="208"/>
    </row>
    <row r="167" spans="9:10">
      <c r="I167" s="264"/>
      <c r="J167" s="208"/>
    </row>
    <row r="168" spans="9:10">
      <c r="I168" s="264"/>
      <c r="J168" s="208"/>
    </row>
    <row r="169" spans="9:10">
      <c r="I169" s="264"/>
      <c r="J169" s="208"/>
    </row>
    <row r="170" spans="9:10">
      <c r="I170" s="264"/>
      <c r="J170" s="208"/>
    </row>
    <row r="171" spans="9:10">
      <c r="I171" s="264"/>
      <c r="J171" s="208"/>
    </row>
    <row r="172" spans="9:10">
      <c r="I172" s="264"/>
      <c r="J172" s="208"/>
    </row>
    <row r="173" spans="9:10">
      <c r="I173" s="264"/>
      <c r="J173" s="208"/>
    </row>
    <row r="174" spans="9:10">
      <c r="I174" s="264"/>
      <c r="J174" s="208"/>
    </row>
  </sheetData>
  <conditionalFormatting sqref="I24:N65536 I3:I5 K8:L15 I17:I22 M10:M15 N3:N22 I7:I15 K18:L22 M20:M22 L3:M5 K5">
    <cfRule type="cellIs" dxfId="5" priority="1" stopIfTrue="1" operator="equal">
      <formula>0</formula>
    </cfRule>
  </conditionalFormatting>
  <printOptions horizontalCentered="1" gridLines="1"/>
  <pageMargins left="0.75" right="0.75" top="0.63" bottom="0.63" header="0.32" footer="0.45"/>
  <pageSetup scale="59" fitToHeight="2" orientation="portrait" r:id="rId1"/>
  <headerFooter alignWithMargins="0">
    <oddHeader>&amp;L&amp;"Arial,Bold Italic"&amp;11&amp;A&amp;C&amp;"Arial,Bold Italic"&amp;11Ten Mile River Hydro
Phase I Feasibility Study&amp;R&amp;"Arial,Bold Italic"&amp;11For Planning Purposes Only</oddHeader>
    <oddFooter>&amp;L&amp;F&amp;R&amp;G</oddFooter>
  </headerFooter>
  <rowBreaks count="1" manualBreakCount="1">
    <brk id="100" max="7" man="1"/>
  </rowBreaks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theme="5" tint="-0.499984740745262"/>
    <pageSetUpPr fitToPage="1"/>
  </sheetPr>
  <dimension ref="A1:D13"/>
  <sheetViews>
    <sheetView view="pageBreakPreview" zoomScale="60" zoomScaleNormal="100" workbookViewId="0">
      <selection activeCell="H11" sqref="H11"/>
    </sheetView>
  </sheetViews>
  <sheetFormatPr defaultRowHeight="12.75"/>
  <cols>
    <col min="1" max="1" width="16.28515625" customWidth="1"/>
    <col min="2" max="2" width="16.5703125" style="52" customWidth="1"/>
    <col min="3" max="3" width="15.85546875" style="334" customWidth="1"/>
    <col min="4" max="4" width="13.5703125" style="52" customWidth="1"/>
  </cols>
  <sheetData>
    <row r="1" spans="1:4" ht="48.75" customHeight="1">
      <c r="A1" s="364" t="s">
        <v>154</v>
      </c>
      <c r="B1" s="365" t="s">
        <v>155</v>
      </c>
      <c r="C1" s="366" t="s">
        <v>372</v>
      </c>
      <c r="D1" s="366" t="s">
        <v>440</v>
      </c>
    </row>
    <row r="2" spans="1:4">
      <c r="A2" t="s">
        <v>208</v>
      </c>
      <c r="B2" s="53">
        <v>10000</v>
      </c>
      <c r="C2" s="333">
        <v>10000</v>
      </c>
      <c r="D2" s="54">
        <f>SUM(B2:C2)/1000</f>
        <v>20</v>
      </c>
    </row>
    <row r="3" spans="1:4">
      <c r="A3" t="s">
        <v>209</v>
      </c>
      <c r="B3" s="53">
        <v>40000</v>
      </c>
      <c r="C3" s="333">
        <v>10000</v>
      </c>
      <c r="D3" s="54">
        <f>SUM(B3:C3)/1000</f>
        <v>50</v>
      </c>
    </row>
    <row r="4" spans="1:4">
      <c r="A4" t="s">
        <v>210</v>
      </c>
      <c r="B4" s="53">
        <v>30000</v>
      </c>
      <c r="C4" s="333">
        <v>10000</v>
      </c>
      <c r="D4" s="54">
        <f>SUM(B4:C4)/1000</f>
        <v>40</v>
      </c>
    </row>
    <row r="5" spans="1:4">
      <c r="B5" s="53"/>
      <c r="C5" s="333"/>
      <c r="D5" s="54"/>
    </row>
    <row r="6" spans="1:4">
      <c r="A6" s="335" t="s">
        <v>227</v>
      </c>
      <c r="C6" s="333"/>
      <c r="D6" s="54"/>
    </row>
    <row r="7" spans="1:4">
      <c r="A7" s="335" t="s">
        <v>373</v>
      </c>
      <c r="B7" s="53"/>
      <c r="C7" s="333"/>
      <c r="D7" s="54"/>
    </row>
    <row r="8" spans="1:4">
      <c r="B8" s="53"/>
      <c r="C8" s="333"/>
      <c r="D8" s="54"/>
    </row>
    <row r="9" spans="1:4">
      <c r="B9" s="53"/>
      <c r="C9" s="333"/>
      <c r="D9" s="54"/>
    </row>
    <row r="10" spans="1:4">
      <c r="B10" s="53"/>
      <c r="C10" s="333"/>
      <c r="D10" s="54"/>
    </row>
    <row r="11" spans="1:4">
      <c r="B11" s="53"/>
      <c r="C11" s="333"/>
      <c r="D11" s="54"/>
    </row>
    <row r="12" spans="1:4">
      <c r="B12" s="53"/>
      <c r="C12" s="333"/>
      <c r="D12" s="54"/>
    </row>
    <row r="13" spans="1:4">
      <c r="D13" s="1"/>
    </row>
  </sheetData>
  <phoneticPr fontId="5" type="noConversion"/>
  <printOptions horizontalCentered="1"/>
  <pageMargins left="0.75" right="0.75" top="2" bottom="0.63" header="0.32" footer="0.45"/>
  <pageSetup orientation="portrait" r:id="rId1"/>
  <headerFooter alignWithMargins="0">
    <oddHeader>&amp;L&amp;"Arial,Bold Italic"&amp;11&amp;A&amp;C&amp;"Arial,Bold Italic"&amp;11Ten Mile River Hydro
Phase I Feasibility Study&amp;R&amp;"Arial,Bold Italic"&amp;11For Planning Purposes Only</oddHeader>
    <oddFooter>&amp;L&amp;F&amp;R&amp;G</oddFoot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theme="5" tint="-0.499984740745262"/>
    <pageSetUpPr fitToPage="1"/>
  </sheetPr>
  <dimension ref="A1:G24"/>
  <sheetViews>
    <sheetView view="pageBreakPreview" zoomScale="60" zoomScaleNormal="100" workbookViewId="0">
      <selection activeCell="B23" sqref="B23"/>
    </sheetView>
  </sheetViews>
  <sheetFormatPr defaultRowHeight="15"/>
  <cols>
    <col min="1" max="1" width="25.28515625" style="286" customWidth="1"/>
    <col min="2" max="2" width="11" style="287" customWidth="1"/>
    <col min="3" max="3" width="13.140625" style="287" customWidth="1"/>
    <col min="4" max="4" width="10.7109375" style="287" customWidth="1"/>
    <col min="5" max="5" width="11.85546875" style="287" customWidth="1"/>
    <col min="6" max="6" width="12.42578125" style="287" customWidth="1"/>
    <col min="7" max="7" width="12.140625" style="286" customWidth="1"/>
    <col min="8" max="16384" width="9.140625" style="286"/>
  </cols>
  <sheetData>
    <row r="1" spans="1:7" ht="30">
      <c r="A1" s="284" t="s">
        <v>341</v>
      </c>
      <c r="B1" s="285" t="s">
        <v>342</v>
      </c>
      <c r="C1" s="285" t="s">
        <v>343</v>
      </c>
      <c r="D1" s="285" t="s">
        <v>344</v>
      </c>
      <c r="E1" s="285" t="s">
        <v>345</v>
      </c>
      <c r="F1" s="285" t="s">
        <v>346</v>
      </c>
    </row>
    <row r="2" spans="1:7">
      <c r="A2" s="286" t="s">
        <v>347</v>
      </c>
      <c r="B2" s="287">
        <v>300</v>
      </c>
      <c r="C2" s="287">
        <v>6</v>
      </c>
      <c r="D2" s="287">
        <v>125000</v>
      </c>
      <c r="E2" s="287">
        <f>1.025*D2</f>
        <v>128124.99999999999</v>
      </c>
      <c r="F2" s="287">
        <f>E2/B2</f>
        <v>427.08333333333326</v>
      </c>
    </row>
    <row r="3" spans="1:7">
      <c r="A3" s="286" t="s">
        <v>348</v>
      </c>
      <c r="B3" s="287">
        <v>300</v>
      </c>
      <c r="C3" s="287">
        <v>7</v>
      </c>
      <c r="D3" s="287">
        <v>144000</v>
      </c>
      <c r="E3" s="287">
        <v>144000</v>
      </c>
      <c r="F3" s="287">
        <f>E3/B3</f>
        <v>480</v>
      </c>
    </row>
    <row r="4" spans="1:7">
      <c r="A4" s="286" t="s">
        <v>347</v>
      </c>
      <c r="B4" s="287">
        <v>1500</v>
      </c>
      <c r="C4" s="287">
        <v>8</v>
      </c>
      <c r="D4" s="287">
        <v>520000</v>
      </c>
      <c r="E4" s="287">
        <f>1.025*D4</f>
        <v>533000</v>
      </c>
      <c r="F4" s="287">
        <f>E4/B4</f>
        <v>355.33333333333331</v>
      </c>
    </row>
    <row r="5" spans="1:7">
      <c r="A5" s="286" t="s">
        <v>347</v>
      </c>
      <c r="B5" s="287">
        <v>300</v>
      </c>
      <c r="C5" s="287">
        <v>10</v>
      </c>
      <c r="D5" s="287">
        <v>185000</v>
      </c>
      <c r="E5" s="287">
        <f>1.025*D5</f>
        <v>189624.99999999997</v>
      </c>
      <c r="F5" s="287">
        <f>E5/B5</f>
        <v>632.08333333333326</v>
      </c>
    </row>
    <row r="6" spans="1:7">
      <c r="A6" s="286" t="s">
        <v>349</v>
      </c>
      <c r="B6" s="287">
        <v>300</v>
      </c>
      <c r="C6" s="287">
        <v>12</v>
      </c>
      <c r="D6" s="287">
        <v>204000</v>
      </c>
      <c r="E6" s="287">
        <v>204000</v>
      </c>
      <c r="F6" s="287">
        <f>E6/B6</f>
        <v>680</v>
      </c>
    </row>
    <row r="8" spans="1:7">
      <c r="A8" s="375" t="s">
        <v>350</v>
      </c>
      <c r="B8" s="375"/>
      <c r="C8" s="375"/>
      <c r="D8" s="375"/>
      <c r="E8" s="375"/>
      <c r="F8" s="375"/>
    </row>
    <row r="9" spans="1:7">
      <c r="F9" s="285" t="s">
        <v>346</v>
      </c>
      <c r="G9" s="285" t="s">
        <v>182</v>
      </c>
    </row>
    <row r="10" spans="1:7">
      <c r="A10" s="286" t="s">
        <v>347</v>
      </c>
      <c r="B10" s="287">
        <v>300</v>
      </c>
      <c r="C10" s="287">
        <v>6</v>
      </c>
      <c r="D10" s="287">
        <v>125000</v>
      </c>
      <c r="E10" s="287">
        <f>1.025*D10</f>
        <v>128124.99999999999</v>
      </c>
      <c r="F10" s="287">
        <f>E10/B10</f>
        <v>427.08333333333326</v>
      </c>
      <c r="G10" s="287">
        <f>-4.07486*C10^2+116.44774*C10-128.96893</f>
        <v>423.02254999999991</v>
      </c>
    </row>
    <row r="11" spans="1:7">
      <c r="A11" s="286" t="s">
        <v>348</v>
      </c>
      <c r="B11" s="287">
        <v>300</v>
      </c>
      <c r="C11" s="287">
        <v>7</v>
      </c>
      <c r="D11" s="287">
        <v>144000</v>
      </c>
      <c r="E11" s="287">
        <v>144000</v>
      </c>
      <c r="F11" s="287">
        <f>E11/B11</f>
        <v>480</v>
      </c>
      <c r="G11" s="287">
        <f t="shared" ref="G11:G13" si="0">-4.07486*C11^2+116.44774*C11-128.96893</f>
        <v>486.49711000000002</v>
      </c>
    </row>
    <row r="12" spans="1:7">
      <c r="A12" s="286" t="s">
        <v>347</v>
      </c>
      <c r="B12" s="287">
        <v>300</v>
      </c>
      <c r="C12" s="287">
        <v>10</v>
      </c>
      <c r="D12" s="287">
        <v>185000</v>
      </c>
      <c r="E12" s="287">
        <f>1.025*D12</f>
        <v>189624.99999999997</v>
      </c>
      <c r="F12" s="287">
        <f>E12/B12</f>
        <v>632.08333333333326</v>
      </c>
      <c r="G12" s="287">
        <f t="shared" si="0"/>
        <v>628.02247</v>
      </c>
    </row>
    <row r="13" spans="1:7">
      <c r="A13" s="286" t="s">
        <v>349</v>
      </c>
      <c r="B13" s="287">
        <v>300</v>
      </c>
      <c r="C13" s="287">
        <v>12</v>
      </c>
      <c r="D13" s="287">
        <v>204000</v>
      </c>
      <c r="E13" s="287">
        <v>204000</v>
      </c>
      <c r="F13" s="287">
        <f>E13/B13</f>
        <v>680</v>
      </c>
      <c r="G13" s="287">
        <f t="shared" si="0"/>
        <v>681.62410999999986</v>
      </c>
    </row>
    <row r="15" spans="1:7">
      <c r="A15" s="375" t="s">
        <v>351</v>
      </c>
      <c r="B15" s="375"/>
      <c r="C15" s="375"/>
      <c r="D15" s="375"/>
      <c r="E15" s="375"/>
      <c r="F15" s="375"/>
      <c r="G15" s="375"/>
    </row>
    <row r="16" spans="1:7" ht="45">
      <c r="A16" s="285"/>
      <c r="B16" s="285" t="s">
        <v>352</v>
      </c>
      <c r="C16" s="285" t="s">
        <v>353</v>
      </c>
      <c r="D16" s="285" t="s">
        <v>360</v>
      </c>
      <c r="E16" s="285" t="s">
        <v>354</v>
      </c>
      <c r="F16" s="285" t="s">
        <v>355</v>
      </c>
      <c r="G16" s="285" t="s">
        <v>356</v>
      </c>
    </row>
    <row r="17" spans="2:7">
      <c r="B17" s="296">
        <v>3.7</v>
      </c>
      <c r="C17" s="287">
        <f>-4.07486*$B17^2+116.44774*$B17-128.96893</f>
        <v>246.10287460000001</v>
      </c>
      <c r="D17" s="288">
        <v>1</v>
      </c>
      <c r="E17" s="287">
        <f>C17*D17</f>
        <v>246.10287460000001</v>
      </c>
      <c r="F17" s="287">
        <f>0.5*E17</f>
        <v>123.0514373</v>
      </c>
      <c r="G17" s="289">
        <f>E17+F17</f>
        <v>369.15431190000004</v>
      </c>
    </row>
    <row r="18" spans="2:7">
      <c r="B18" s="296">
        <v>4.3</v>
      </c>
      <c r="C18" s="287">
        <f t="shared" ref="C18:C24" si="1">-4.07486*$B18^2+116.44774*$B18-128.96893</f>
        <v>296.41219059999992</v>
      </c>
      <c r="D18" s="288">
        <f>D$17</f>
        <v>1</v>
      </c>
      <c r="E18" s="287">
        <f t="shared" ref="E18:E24" si="2">C18*D18</f>
        <v>296.41219059999992</v>
      </c>
      <c r="F18" s="287">
        <f t="shared" ref="F18:F24" si="3">0.5*E18</f>
        <v>148.20609529999996</v>
      </c>
      <c r="G18" s="289">
        <f t="shared" ref="G18:G24" si="4">E18+F18</f>
        <v>444.61828589999988</v>
      </c>
    </row>
    <row r="19" spans="2:7">
      <c r="B19" s="296">
        <v>4.7</v>
      </c>
      <c r="C19" s="287">
        <f t="shared" si="1"/>
        <v>328.32179060000004</v>
      </c>
      <c r="D19" s="288">
        <f t="shared" ref="D19:D24" si="5">D$17</f>
        <v>1</v>
      </c>
      <c r="E19" s="287">
        <f t="shared" si="2"/>
        <v>328.32179060000004</v>
      </c>
      <c r="F19" s="287">
        <f t="shared" si="3"/>
        <v>164.16089530000002</v>
      </c>
      <c r="G19" s="289">
        <f t="shared" si="4"/>
        <v>492.48268590000009</v>
      </c>
    </row>
    <row r="20" spans="2:7">
      <c r="B20" s="296">
        <v>4.55</v>
      </c>
      <c r="C20" s="287">
        <f t="shared" si="1"/>
        <v>316.50849785000003</v>
      </c>
      <c r="D20" s="288">
        <f t="shared" si="5"/>
        <v>1</v>
      </c>
      <c r="E20" s="287">
        <f t="shared" si="2"/>
        <v>316.50849785000003</v>
      </c>
      <c r="F20" s="287">
        <f t="shared" si="3"/>
        <v>158.25424892500001</v>
      </c>
      <c r="G20" s="289">
        <f t="shared" si="4"/>
        <v>474.76274677500004</v>
      </c>
    </row>
    <row r="21" spans="2:7">
      <c r="B21" s="296">
        <v>5.8</v>
      </c>
      <c r="C21" s="287">
        <f t="shared" si="1"/>
        <v>409.34967159999997</v>
      </c>
      <c r="D21" s="288">
        <f t="shared" si="5"/>
        <v>1</v>
      </c>
      <c r="E21" s="287">
        <f t="shared" si="2"/>
        <v>409.34967159999997</v>
      </c>
      <c r="F21" s="287">
        <f t="shared" si="3"/>
        <v>204.67483579999998</v>
      </c>
      <c r="G21" s="289">
        <f t="shared" si="4"/>
        <v>614.02450739999995</v>
      </c>
    </row>
    <row r="22" spans="2:7">
      <c r="B22" s="296">
        <v>5.21</v>
      </c>
      <c r="C22" s="287">
        <f t="shared" si="1"/>
        <v>367.11538807399995</v>
      </c>
      <c r="D22" s="288">
        <f t="shared" si="5"/>
        <v>1</v>
      </c>
      <c r="E22" s="287">
        <f t="shared" si="2"/>
        <v>367.11538807399995</v>
      </c>
      <c r="F22" s="287">
        <f t="shared" si="3"/>
        <v>183.55769403699998</v>
      </c>
      <c r="G22" s="289">
        <f t="shared" si="4"/>
        <v>550.67308211099999</v>
      </c>
    </row>
    <row r="23" spans="2:7">
      <c r="B23" s="296">
        <v>7</v>
      </c>
      <c r="C23" s="287">
        <f t="shared" si="1"/>
        <v>486.49711000000002</v>
      </c>
      <c r="D23" s="288">
        <f t="shared" si="5"/>
        <v>1</v>
      </c>
      <c r="E23" s="287">
        <f t="shared" si="2"/>
        <v>486.49711000000002</v>
      </c>
      <c r="F23" s="287">
        <f t="shared" si="3"/>
        <v>243.24855500000001</v>
      </c>
      <c r="G23" s="289">
        <f t="shared" si="4"/>
        <v>729.74566500000003</v>
      </c>
    </row>
    <row r="24" spans="2:7">
      <c r="B24" s="296">
        <v>8</v>
      </c>
      <c r="C24" s="287">
        <f t="shared" si="1"/>
        <v>541.82195000000002</v>
      </c>
      <c r="D24" s="288">
        <f t="shared" si="5"/>
        <v>1</v>
      </c>
      <c r="E24" s="287">
        <f t="shared" si="2"/>
        <v>541.82195000000002</v>
      </c>
      <c r="F24" s="287">
        <f t="shared" si="3"/>
        <v>270.91097500000001</v>
      </c>
      <c r="G24" s="289">
        <f t="shared" si="4"/>
        <v>812.73292500000002</v>
      </c>
    </row>
  </sheetData>
  <mergeCells count="2">
    <mergeCell ref="A8:F8"/>
    <mergeCell ref="A15:G15"/>
  </mergeCells>
  <printOptions horizontalCentered="1"/>
  <pageMargins left="0.7" right="0.7" top="0.75" bottom="0.75" header="0.3" footer="0.3"/>
  <pageSetup scale="95" orientation="portrait" r:id="rId1"/>
  <headerFooter>
    <oddHeader>&amp;L&amp;"Arial,Bold Italic"Privileged and Confidential&amp;C&amp;"Arial,Bold Italic"Ten Mile River Hydro
Phase I Feasibility Study&amp;R&amp;"Arial,Bold Italic"&amp;A</oddHeader>
    <oddFooter>&amp;L&amp;F&amp;C&amp;"Arial,Bold Italic"For Planning Purposes Only&amp;R&amp;G</oddFooter>
  </headerFooter>
  <drawing r:id="rId2"/>
  <legacyDrawingHF r:id="rId3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theme="5" tint="-0.499984740745262"/>
    <pageSetUpPr fitToPage="1"/>
  </sheetPr>
  <dimension ref="A1:K34"/>
  <sheetViews>
    <sheetView view="pageBreakPreview" zoomScale="60" zoomScaleNormal="100" workbookViewId="0">
      <selection activeCell="E27" sqref="E27"/>
    </sheetView>
  </sheetViews>
  <sheetFormatPr defaultRowHeight="15"/>
  <cols>
    <col min="1" max="1" width="23.140625" style="251" customWidth="1"/>
    <col min="2" max="2" width="12.7109375" style="251" customWidth="1"/>
    <col min="3" max="3" width="14.28515625" style="253" customWidth="1"/>
    <col min="4" max="5" width="15.5703125" style="253" customWidth="1"/>
    <col min="6" max="7" width="9.140625" style="253"/>
    <col min="8" max="8" width="14.140625" style="253" customWidth="1"/>
    <col min="9" max="9" width="16.140625" style="253" customWidth="1"/>
    <col min="10" max="10" width="13.7109375" style="253" customWidth="1"/>
    <col min="11" max="11" width="9.140625" style="255"/>
    <col min="12" max="16384" width="9.140625" style="251"/>
  </cols>
  <sheetData>
    <row r="1" spans="1:10" ht="38.25">
      <c r="B1" s="252" t="s">
        <v>325</v>
      </c>
      <c r="C1" s="252" t="s">
        <v>326</v>
      </c>
      <c r="D1" s="252" t="s">
        <v>327</v>
      </c>
      <c r="E1" s="252" t="s">
        <v>328</v>
      </c>
      <c r="H1" s="254"/>
      <c r="I1" s="254"/>
      <c r="J1" s="254"/>
    </row>
    <row r="2" spans="1:10">
      <c r="A2" s="253" t="s">
        <v>329</v>
      </c>
      <c r="B2" s="256">
        <v>1050</v>
      </c>
      <c r="C2" s="256">
        <v>488279.4117647059</v>
      </c>
      <c r="D2" s="256">
        <f>1.025*C2</f>
        <v>500486.3970588235</v>
      </c>
      <c r="E2" s="256">
        <f>308435.99692*LN($B2)-1571839.865</f>
        <v>573809.16387773748</v>
      </c>
      <c r="H2" s="254"/>
      <c r="I2" s="254"/>
      <c r="J2" s="254"/>
    </row>
    <row r="3" spans="1:10">
      <c r="A3" s="253" t="s">
        <v>329</v>
      </c>
      <c r="B3" s="256">
        <v>1500</v>
      </c>
      <c r="C3" s="254">
        <v>602419.11764705891</v>
      </c>
      <c r="D3" s="256">
        <f t="shared" ref="D3:D5" si="0">1.025*C3</f>
        <v>617479.5955882353</v>
      </c>
      <c r="E3" s="256">
        <f t="shared" ref="E3:E5" si="1">308435.99692*LN($B3)-1571839.865</f>
        <v>683820.55578786531</v>
      </c>
      <c r="H3" s="254"/>
      <c r="I3" s="254"/>
      <c r="J3" s="254"/>
    </row>
    <row r="4" spans="1:10">
      <c r="A4" s="253" t="s">
        <v>330</v>
      </c>
      <c r="B4" s="256">
        <v>1700</v>
      </c>
      <c r="C4" s="254">
        <v>899966.61695323</v>
      </c>
      <c r="D4" s="256">
        <f t="shared" si="0"/>
        <v>922465.78237706062</v>
      </c>
      <c r="E4" s="256">
        <f t="shared" si="1"/>
        <v>722425.37456252449</v>
      </c>
      <c r="H4" s="254"/>
    </row>
    <row r="5" spans="1:10">
      <c r="A5" s="253" t="s">
        <v>331</v>
      </c>
      <c r="B5" s="256">
        <v>3000</v>
      </c>
      <c r="C5" s="254">
        <v>805200.25</v>
      </c>
      <c r="D5" s="256">
        <f t="shared" si="0"/>
        <v>825330.25624999998</v>
      </c>
      <c r="E5" s="256">
        <f t="shared" si="1"/>
        <v>897612.09743615915</v>
      </c>
    </row>
    <row r="8" spans="1:10" hidden="1">
      <c r="B8" s="52">
        <v>810</v>
      </c>
      <c r="C8" s="256">
        <f>308435.99692*LN($B8)-1571839.865</f>
        <v>493766.56958639435</v>
      </c>
    </row>
    <row r="9" spans="1:10" hidden="1">
      <c r="B9" s="52">
        <v>900</v>
      </c>
      <c r="C9" s="256">
        <f t="shared" ref="C9:C12" si="2">308435.99692*LN($B9)-1571839.865</f>
        <v>526263.54526932142</v>
      </c>
    </row>
    <row r="10" spans="1:10" hidden="1">
      <c r="B10" s="52">
        <v>920</v>
      </c>
      <c r="C10" s="256">
        <f t="shared" si="2"/>
        <v>533042.63127433858</v>
      </c>
    </row>
    <row r="11" spans="1:10" hidden="1">
      <c r="B11" s="52">
        <v>950</v>
      </c>
      <c r="C11" s="256">
        <f t="shared" si="2"/>
        <v>542939.82256251317</v>
      </c>
    </row>
    <row r="12" spans="1:10" hidden="1">
      <c r="B12" s="52">
        <v>1250</v>
      </c>
      <c r="C12" s="256">
        <f t="shared" si="2"/>
        <v>627586.02465811581</v>
      </c>
    </row>
    <row r="13" spans="1:10" hidden="1"/>
    <row r="26" spans="1:4" ht="51">
      <c r="A26" s="252" t="s">
        <v>332</v>
      </c>
      <c r="B26" s="252" t="s">
        <v>325</v>
      </c>
      <c r="C26" s="252" t="s">
        <v>333</v>
      </c>
      <c r="D26" s="252" t="s">
        <v>371</v>
      </c>
    </row>
    <row r="27" spans="1:4">
      <c r="A27" s="251" t="s">
        <v>334</v>
      </c>
      <c r="B27" s="257">
        <v>900</v>
      </c>
      <c r="C27" s="258">
        <f>B27*0.00328</f>
        <v>2.952</v>
      </c>
      <c r="D27" s="256">
        <f>308435.99692*LN($B27)-1571839.865+50000</f>
        <v>576263.54526932142</v>
      </c>
    </row>
    <row r="28" spans="1:4">
      <c r="A28" s="251" t="s">
        <v>335</v>
      </c>
      <c r="B28" s="257">
        <v>920</v>
      </c>
      <c r="C28" s="258">
        <f t="shared" ref="C28:C30" si="3">B28*0.00328</f>
        <v>3.0175999999999998</v>
      </c>
      <c r="D28" s="256">
        <f>308435.99692*LN($B28)-1571839.865+50000</f>
        <v>583042.63127433858</v>
      </c>
    </row>
    <row r="29" spans="1:4">
      <c r="A29" s="251" t="s">
        <v>336</v>
      </c>
      <c r="B29" s="257">
        <v>950</v>
      </c>
      <c r="C29" s="258">
        <f t="shared" si="3"/>
        <v>3.1160000000000001</v>
      </c>
      <c r="D29" s="256">
        <f>308435.99692*LN($B29)-1571839.865+50000</f>
        <v>592939.82256251317</v>
      </c>
    </row>
    <row r="30" spans="1:4">
      <c r="A30" s="251" t="s">
        <v>337</v>
      </c>
      <c r="B30" s="257">
        <v>1250</v>
      </c>
      <c r="C30" s="258">
        <f t="shared" si="3"/>
        <v>4.0999999999999996</v>
      </c>
      <c r="D30" s="256">
        <f>308435.99692*LN($B30)-1571839.865+50000</f>
        <v>677586.02465811581</v>
      </c>
    </row>
    <row r="31" spans="1:4">
      <c r="B31" s="256"/>
    </row>
    <row r="32" spans="1:4">
      <c r="B32" s="256"/>
    </row>
    <row r="33" spans="2:2">
      <c r="B33" s="256"/>
    </row>
    <row r="34" spans="2:2">
      <c r="B34" s="256"/>
    </row>
  </sheetData>
  <printOptions horizontalCentered="1"/>
  <pageMargins left="0.7" right="0.7" top="0.75" bottom="0.75" header="0.3" footer="0.3"/>
  <pageSetup orientation="portrait" r:id="rId1"/>
  <headerFooter>
    <oddHeader>&amp;L&amp;"Arial,Bold Italic"Privileged and Confidential&amp;C&amp;"Arial,Bold Italic"Ten Mile River Hydro
Phase I Feasibility Study&amp;R&amp;"Arial,Bold Italic"&amp;A</oddHeader>
    <oddFooter>&amp;L&amp;F&amp;C&amp;"Arial,Bold Italic"For Planning Purposes Only&amp;R&amp;G</oddFooter>
  </headerFooter>
  <drawing r:id="rId2"/>
  <legacyDrawingHF r:id="rId3"/>
</worksheet>
</file>

<file path=xl/worksheets/sheet44.xml><?xml version="1.0" encoding="utf-8"?>
<worksheet xmlns="http://schemas.openxmlformats.org/spreadsheetml/2006/main" xmlns:r="http://schemas.openxmlformats.org/officeDocument/2006/relationships">
  <sheetPr>
    <tabColor theme="5" tint="-0.499984740745262"/>
    <pageSetUpPr fitToPage="1"/>
  </sheetPr>
  <dimension ref="A1:J52"/>
  <sheetViews>
    <sheetView view="pageBreakPreview" zoomScale="60" zoomScaleNormal="90" workbookViewId="0">
      <selection activeCell="B29" sqref="B29:D29"/>
    </sheetView>
  </sheetViews>
  <sheetFormatPr defaultRowHeight="12.75"/>
  <cols>
    <col min="1" max="1" width="4" customWidth="1"/>
    <col min="2" max="2" width="29.7109375" bestFit="1" customWidth="1"/>
    <col min="4" max="4" width="13.85546875" bestFit="1" customWidth="1"/>
    <col min="5" max="6" width="10.7109375" bestFit="1" customWidth="1"/>
    <col min="7" max="7" width="11.7109375" bestFit="1" customWidth="1"/>
    <col min="9" max="10" width="10.5703125" customWidth="1"/>
  </cols>
  <sheetData>
    <row r="1" spans="1:10" s="108" customFormat="1" ht="40.5" customHeight="1">
      <c r="A1" s="108" t="s">
        <v>170</v>
      </c>
      <c r="B1" s="108" t="s">
        <v>171</v>
      </c>
      <c r="C1" s="109">
        <v>2009</v>
      </c>
      <c r="D1" s="109">
        <v>2010</v>
      </c>
      <c r="H1" s="236" t="s">
        <v>311</v>
      </c>
      <c r="I1" s="236" t="s">
        <v>312</v>
      </c>
      <c r="J1" s="236" t="s">
        <v>313</v>
      </c>
    </row>
    <row r="2" spans="1:10">
      <c r="A2">
        <v>1</v>
      </c>
      <c r="B2" t="s">
        <v>172</v>
      </c>
      <c r="C2" s="53">
        <v>350</v>
      </c>
      <c r="D2" s="53"/>
      <c r="E2" s="53"/>
      <c r="F2" s="53"/>
      <c r="H2" s="57">
        <v>850</v>
      </c>
      <c r="I2" s="53">
        <v>360</v>
      </c>
      <c r="J2" s="53">
        <f>0.00035*H2^2-0.04784*H2+214.78276</f>
        <v>426.99376000000001</v>
      </c>
    </row>
    <row r="3" spans="1:10">
      <c r="A3">
        <v>2</v>
      </c>
      <c r="B3" t="s">
        <v>173</v>
      </c>
      <c r="C3" s="53">
        <v>450</v>
      </c>
      <c r="D3" s="53"/>
      <c r="E3" s="53"/>
      <c r="F3" s="53"/>
      <c r="G3" s="111"/>
      <c r="H3" s="57">
        <v>1050</v>
      </c>
      <c r="I3" s="53">
        <v>500</v>
      </c>
      <c r="J3" s="53">
        <f t="shared" ref="J3:J6" si="0">0.00035*H3^2-0.04784*H3+214.78276</f>
        <v>550.42576000000008</v>
      </c>
    </row>
    <row r="4" spans="1:10">
      <c r="A4">
        <v>3</v>
      </c>
      <c r="B4" t="s">
        <v>174</v>
      </c>
      <c r="C4" s="53">
        <v>490</v>
      </c>
      <c r="D4" s="53"/>
      <c r="E4" s="53"/>
      <c r="F4" s="53"/>
      <c r="G4" s="111"/>
      <c r="H4" s="57">
        <v>1290</v>
      </c>
      <c r="I4" s="53">
        <v>900</v>
      </c>
      <c r="J4" s="53">
        <f t="shared" si="0"/>
        <v>735.50415999999996</v>
      </c>
    </row>
    <row r="5" spans="1:10">
      <c r="A5">
        <v>4</v>
      </c>
      <c r="B5" t="s">
        <v>175</v>
      </c>
      <c r="C5" s="53">
        <v>1125</v>
      </c>
      <c r="D5" s="53"/>
      <c r="E5" s="53"/>
      <c r="F5" s="53"/>
      <c r="G5" s="111"/>
      <c r="H5" s="57">
        <v>1800</v>
      </c>
      <c r="I5" s="53">
        <v>1140</v>
      </c>
      <c r="J5" s="53">
        <f t="shared" si="0"/>
        <v>1262.67076</v>
      </c>
    </row>
    <row r="6" spans="1:10">
      <c r="A6">
        <v>5</v>
      </c>
      <c r="B6" t="s">
        <v>176</v>
      </c>
      <c r="C6" s="53">
        <v>400</v>
      </c>
      <c r="D6" s="53">
        <v>650</v>
      </c>
      <c r="E6" s="112" t="s">
        <v>185</v>
      </c>
      <c r="F6" s="113">
        <f>D15/C15^2</f>
        <v>3.5185185185185184E-4</v>
      </c>
      <c r="G6" s="111"/>
      <c r="H6" s="57">
        <v>3000</v>
      </c>
      <c r="I6" s="53">
        <v>3170</v>
      </c>
      <c r="J6" s="53">
        <f t="shared" si="0"/>
        <v>3221.2627600000001</v>
      </c>
    </row>
    <row r="7" spans="1:10">
      <c r="A7">
        <v>6</v>
      </c>
      <c r="B7" t="s">
        <v>177</v>
      </c>
      <c r="C7" s="53"/>
      <c r="D7" s="53">
        <v>900</v>
      </c>
      <c r="E7" s="112" t="s">
        <v>186</v>
      </c>
      <c r="F7" s="113">
        <v>60</v>
      </c>
      <c r="G7" s="111"/>
      <c r="H7" s="57"/>
      <c r="I7" s="53"/>
    </row>
    <row r="8" spans="1:10">
      <c r="A8">
        <v>7</v>
      </c>
      <c r="B8" t="s">
        <v>178</v>
      </c>
      <c r="C8" s="53"/>
      <c r="D8" s="53">
        <v>1140</v>
      </c>
      <c r="E8" s="112" t="s">
        <v>184</v>
      </c>
      <c r="F8" s="113">
        <f>1140-847</f>
        <v>293</v>
      </c>
      <c r="G8" s="111"/>
      <c r="H8" s="57"/>
      <c r="I8" s="53"/>
      <c r="J8" s="113"/>
    </row>
    <row r="9" spans="1:10">
      <c r="E9" s="112" t="s">
        <v>183</v>
      </c>
      <c r="F9" s="114">
        <f>(D15-D13)/(C15-C13)</f>
        <v>0.47058823529411764</v>
      </c>
      <c r="G9" s="111"/>
      <c r="H9" s="57"/>
      <c r="I9" s="53"/>
    </row>
    <row r="10" spans="1:10">
      <c r="C10" s="53" t="s">
        <v>179</v>
      </c>
      <c r="D10" s="53" t="s">
        <v>180</v>
      </c>
      <c r="E10" s="52" t="s">
        <v>182</v>
      </c>
      <c r="F10" s="53"/>
      <c r="G10" s="111"/>
    </row>
    <row r="11" spans="1:10">
      <c r="B11" t="s">
        <v>181</v>
      </c>
      <c r="C11" s="53">
        <v>850</v>
      </c>
      <c r="D11" s="53">
        <f>1.025*C$2</f>
        <v>358.74999999999994</v>
      </c>
      <c r="E11" s="53">
        <f>b+m*$C11</f>
        <v>693</v>
      </c>
      <c r="F11" s="53">
        <f t="shared" ref="F11:F16" si="1">bb+mm*$C11^2</f>
        <v>314.21296296296293</v>
      </c>
      <c r="G11" s="53"/>
      <c r="H11" s="57"/>
      <c r="I11" s="53"/>
    </row>
    <row r="12" spans="1:10">
      <c r="C12" s="53">
        <v>1050</v>
      </c>
      <c r="D12" s="53">
        <f>1.025*C$4</f>
        <v>502.24999999999994</v>
      </c>
      <c r="E12" s="53">
        <f>b+m*C12</f>
        <v>787.11764705882354</v>
      </c>
      <c r="F12" s="53">
        <f t="shared" si="1"/>
        <v>447.91666666666663</v>
      </c>
      <c r="G12" s="53"/>
    </row>
    <row r="13" spans="1:10">
      <c r="C13" s="53">
        <v>1290</v>
      </c>
      <c r="D13" s="53">
        <f>D$7</f>
        <v>900</v>
      </c>
      <c r="E13" s="53">
        <f>b+m*C13</f>
        <v>900.05882352941171</v>
      </c>
      <c r="F13" s="53">
        <f t="shared" si="1"/>
        <v>645.51666666666665</v>
      </c>
      <c r="G13" s="53"/>
      <c r="H13" s="57"/>
      <c r="I13" s="53"/>
    </row>
    <row r="14" spans="1:10">
      <c r="C14" s="53">
        <v>1500</v>
      </c>
      <c r="D14" s="110">
        <f>D13+(C14-C13)*(D15-D13)/(C15-C13)</f>
        <v>998.82352941176475</v>
      </c>
      <c r="E14" s="53">
        <f>b+m*C14</f>
        <v>998.88235294117646</v>
      </c>
      <c r="F14" s="53">
        <f t="shared" si="1"/>
        <v>851.66666666666663</v>
      </c>
      <c r="G14" s="53"/>
      <c r="H14" s="57"/>
      <c r="I14" s="53"/>
    </row>
    <row r="15" spans="1:10">
      <c r="C15" s="53">
        <v>1800</v>
      </c>
      <c r="D15" s="53">
        <f>D$8</f>
        <v>1140</v>
      </c>
      <c r="E15" s="53">
        <f>b+m*C15</f>
        <v>1140.0588235294117</v>
      </c>
      <c r="F15" s="53">
        <f t="shared" si="1"/>
        <v>1200</v>
      </c>
      <c r="G15" s="53"/>
    </row>
    <row r="16" spans="1:10">
      <c r="C16" s="53">
        <v>3000</v>
      </c>
      <c r="D16" s="53">
        <f>D$15*C$16^2/C$15^2</f>
        <v>3166.6666666666665</v>
      </c>
      <c r="E16" s="53">
        <f>b+m*C16</f>
        <v>1704.7647058823529</v>
      </c>
      <c r="F16" s="53">
        <f t="shared" si="1"/>
        <v>3226.6666666666665</v>
      </c>
      <c r="G16" s="53"/>
      <c r="H16" s="57"/>
      <c r="I16" s="53"/>
    </row>
    <row r="17" spans="2:9">
      <c r="C17" s="53"/>
      <c r="D17" s="53">
        <f>D$15*C$16/C$15</f>
        <v>1900</v>
      </c>
      <c r="E17" s="53"/>
      <c r="F17" s="53"/>
      <c r="G17" s="111"/>
    </row>
    <row r="18" spans="2:9">
      <c r="C18" s="53"/>
      <c r="D18" s="53">
        <f>AVERAGE(D16:D17)</f>
        <v>2533.333333333333</v>
      </c>
      <c r="E18" s="53"/>
      <c r="F18" s="53"/>
      <c r="G18" s="111"/>
      <c r="H18" s="57"/>
      <c r="I18" s="53"/>
    </row>
    <row r="19" spans="2:9">
      <c r="B19" s="250" t="s">
        <v>324</v>
      </c>
      <c r="C19" s="53"/>
      <c r="D19" s="53"/>
      <c r="E19" s="53"/>
      <c r="F19" s="53"/>
      <c r="G19" s="111"/>
      <c r="H19" s="57"/>
      <c r="I19" s="53"/>
    </row>
    <row r="20" spans="2:9">
      <c r="B20" s="249" t="s">
        <v>323</v>
      </c>
      <c r="C20" s="248">
        <v>1250</v>
      </c>
      <c r="D20" s="53">
        <f>0.00035*C20^2-0.04784*C20+214.78276</f>
        <v>701.85775999999998</v>
      </c>
      <c r="E20" s="113" t="s">
        <v>312</v>
      </c>
      <c r="G20" s="111"/>
    </row>
    <row r="21" spans="2:9">
      <c r="C21" s="111"/>
      <c r="E21" s="53"/>
      <c r="G21" s="111"/>
      <c r="H21" s="57"/>
      <c r="I21" s="53"/>
    </row>
    <row r="22" spans="2:9">
      <c r="C22" s="111"/>
      <c r="G22" s="111"/>
      <c r="H22" s="57"/>
      <c r="I22" s="53"/>
    </row>
    <row r="23" spans="2:9">
      <c r="C23" s="111"/>
      <c r="G23" s="111"/>
      <c r="H23" s="57"/>
      <c r="I23" s="53"/>
    </row>
    <row r="24" spans="2:9">
      <c r="B24" s="52" t="s">
        <v>338</v>
      </c>
      <c r="C24" s="53" t="s">
        <v>339</v>
      </c>
      <c r="D24" s="52"/>
      <c r="G24" s="111"/>
      <c r="H24" s="57"/>
      <c r="I24" s="53"/>
    </row>
    <row r="25" spans="2:9">
      <c r="B25" s="52">
        <v>810</v>
      </c>
      <c r="C25" s="53">
        <f t="shared" ref="C25:C29" si="2">0.00035*B25^2-0.04784*B25+214.78276</f>
        <v>405.66735999999997</v>
      </c>
      <c r="D25" s="260">
        <f>C25*1000</f>
        <v>405667.36</v>
      </c>
      <c r="G25" s="111"/>
      <c r="H25" s="57"/>
      <c r="I25" s="53"/>
    </row>
    <row r="26" spans="2:9">
      <c r="B26" s="52">
        <v>900</v>
      </c>
      <c r="C26" s="53">
        <f t="shared" si="2"/>
        <v>455.22676000000001</v>
      </c>
      <c r="D26" s="260">
        <f>C26*1000</f>
        <v>455226.76</v>
      </c>
      <c r="G26" s="111"/>
      <c r="H26" s="57"/>
      <c r="I26" s="53"/>
    </row>
    <row r="27" spans="2:9">
      <c r="B27" s="52">
        <v>920</v>
      </c>
      <c r="C27" s="53">
        <f t="shared" si="2"/>
        <v>467.00995999999998</v>
      </c>
      <c r="D27" s="260">
        <f t="shared" ref="D27:D29" si="3">C27*1000</f>
        <v>467009.95999999996</v>
      </c>
      <c r="G27" s="111"/>
      <c r="H27" s="57"/>
      <c r="I27" s="53"/>
    </row>
    <row r="28" spans="2:9">
      <c r="B28" s="52">
        <v>950</v>
      </c>
      <c r="C28" s="53">
        <f t="shared" si="2"/>
        <v>485.20976000000002</v>
      </c>
      <c r="D28" s="260">
        <f t="shared" si="3"/>
        <v>485209.76</v>
      </c>
      <c r="G28" s="111"/>
      <c r="H28" s="57"/>
      <c r="I28" s="53"/>
    </row>
    <row r="29" spans="2:9">
      <c r="B29" s="52">
        <v>1250</v>
      </c>
      <c r="C29" s="53">
        <f>0.00035*B29^2-0.04784*B29+214.78276</f>
        <v>701.85775999999998</v>
      </c>
      <c r="D29" s="260">
        <f>C29*1000</f>
        <v>701857.76</v>
      </c>
      <c r="G29" s="111"/>
      <c r="H29" s="57"/>
      <c r="I29" s="53"/>
    </row>
    <row r="30" spans="2:9">
      <c r="G30" s="111"/>
      <c r="H30" s="57"/>
      <c r="I30" s="53"/>
    </row>
    <row r="31" spans="2:9">
      <c r="G31" s="111"/>
      <c r="H31" s="57"/>
      <c r="I31" s="53"/>
    </row>
    <row r="32" spans="2:9">
      <c r="G32" s="111"/>
    </row>
    <row r="33" spans="8:9">
      <c r="H33" s="53"/>
      <c r="I33" s="53"/>
    </row>
    <row r="34" spans="8:9">
      <c r="H34" s="53"/>
      <c r="I34" s="53"/>
    </row>
    <row r="35" spans="8:9">
      <c r="H35" s="53"/>
      <c r="I35" s="53"/>
    </row>
    <row r="36" spans="8:9">
      <c r="H36" s="53"/>
      <c r="I36" s="53"/>
    </row>
    <row r="37" spans="8:9">
      <c r="H37" s="53"/>
      <c r="I37" s="53"/>
    </row>
    <row r="38" spans="8:9">
      <c r="H38" s="53"/>
      <c r="I38" s="53"/>
    </row>
    <row r="39" spans="8:9">
      <c r="H39" s="53"/>
      <c r="I39" s="53"/>
    </row>
    <row r="40" spans="8:9">
      <c r="H40" s="53"/>
      <c r="I40" s="53"/>
    </row>
    <row r="41" spans="8:9">
      <c r="H41" s="53"/>
      <c r="I41" s="53"/>
    </row>
    <row r="42" spans="8:9">
      <c r="H42" s="53"/>
      <c r="I42" s="53"/>
    </row>
    <row r="43" spans="8:9">
      <c r="H43" s="53"/>
      <c r="I43" s="53"/>
    </row>
    <row r="44" spans="8:9">
      <c r="H44" s="53"/>
      <c r="I44" s="53"/>
    </row>
    <row r="45" spans="8:9">
      <c r="H45" s="53"/>
      <c r="I45" s="53"/>
    </row>
    <row r="46" spans="8:9">
      <c r="H46" s="53"/>
      <c r="I46" s="53"/>
    </row>
    <row r="47" spans="8:9">
      <c r="H47" s="53"/>
      <c r="I47" s="53"/>
    </row>
    <row r="48" spans="8:9">
      <c r="H48" s="53"/>
      <c r="I48" s="53"/>
    </row>
    <row r="49" spans="8:9">
      <c r="H49" s="53"/>
      <c r="I49" s="53"/>
    </row>
    <row r="50" spans="8:9">
      <c r="H50" s="53"/>
      <c r="I50" s="53"/>
    </row>
    <row r="51" spans="8:9">
      <c r="H51" s="53"/>
      <c r="I51" s="53"/>
    </row>
    <row r="52" spans="8:9">
      <c r="H52" s="53"/>
      <c r="I52" s="53"/>
    </row>
  </sheetData>
  <phoneticPr fontId="5" type="noConversion"/>
  <printOptions horizontalCentered="1"/>
  <pageMargins left="0.75" right="0.75" top="1" bottom="1" header="0.5" footer="0.5"/>
  <pageSetup orientation="portrait" r:id="rId1"/>
  <headerFooter alignWithMargins="0">
    <oddHeader>&amp;L&amp;"Arial,Bold Italic"Privileged and Confidential&amp;C&amp;"Arial,Bold Italic"Ten Mile River Hydro 
Phase I Feasibility Study&amp;R&amp;"Arial,Bold Italic"&amp;A</oddHeader>
    <oddFooter>&amp;L&amp;F&amp;C&amp;"Arial,Bold Italic"For Planning Purposes Only&amp;R&amp;G</oddFooter>
  </headerFooter>
  <drawing r:id="rId2"/>
  <legacyDrawingHF r:id="rId3"/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theme="5" tint="-0.499984740745262"/>
    <pageSetUpPr fitToPage="1"/>
  </sheetPr>
  <dimension ref="A1:E14"/>
  <sheetViews>
    <sheetView view="pageBreakPreview" zoomScale="60" zoomScaleNormal="100" workbookViewId="0">
      <selection activeCell="H11" sqref="H11"/>
    </sheetView>
  </sheetViews>
  <sheetFormatPr defaultRowHeight="12.75"/>
  <cols>
    <col min="1" max="1" width="14.42578125" customWidth="1"/>
    <col min="2" max="2" width="36.42578125" style="357" customWidth="1"/>
    <col min="3" max="3" width="17.5703125" customWidth="1"/>
    <col min="4" max="4" width="11.5703125" customWidth="1"/>
    <col min="5" max="5" width="11.28515625" customWidth="1"/>
    <col min="6" max="6" width="3.140625" customWidth="1"/>
  </cols>
  <sheetData>
    <row r="1" spans="1:5">
      <c r="C1" s="376" t="s">
        <v>427</v>
      </c>
      <c r="D1" s="376"/>
      <c r="E1" s="376"/>
    </row>
    <row r="2" spans="1:5" ht="25.5">
      <c r="A2" s="358" t="s">
        <v>430</v>
      </c>
      <c r="B2" s="360" t="s">
        <v>439</v>
      </c>
      <c r="C2" s="359" t="s">
        <v>429</v>
      </c>
      <c r="D2" s="359" t="s">
        <v>428</v>
      </c>
      <c r="E2" s="359" t="s">
        <v>432</v>
      </c>
    </row>
    <row r="3" spans="1:5" ht="31.5" customHeight="1">
      <c r="A3" s="362" t="s">
        <v>431</v>
      </c>
      <c r="B3" s="361" t="s">
        <v>438</v>
      </c>
      <c r="C3" s="128">
        <v>2</v>
      </c>
      <c r="D3" s="128">
        <v>0.5</v>
      </c>
      <c r="E3" s="363">
        <v>288</v>
      </c>
    </row>
    <row r="4" spans="1:5" ht="27.75" customHeight="1">
      <c r="A4" s="362" t="s">
        <v>433</v>
      </c>
      <c r="B4" s="361" t="s">
        <v>434</v>
      </c>
      <c r="C4" s="128">
        <v>2</v>
      </c>
      <c r="D4" s="128">
        <v>2</v>
      </c>
      <c r="E4" s="363">
        <v>400</v>
      </c>
    </row>
    <row r="5" spans="1:5" ht="25.5" customHeight="1">
      <c r="A5" s="362" t="s">
        <v>167</v>
      </c>
      <c r="B5" s="361" t="s">
        <v>436</v>
      </c>
      <c r="C5" s="128">
        <v>3</v>
      </c>
      <c r="D5" s="128">
        <v>2</v>
      </c>
      <c r="E5" s="363">
        <v>450</v>
      </c>
    </row>
    <row r="6" spans="1:5" ht="26.25" customHeight="1">
      <c r="A6" s="362" t="s">
        <v>433</v>
      </c>
      <c r="B6" s="361" t="s">
        <v>435</v>
      </c>
      <c r="C6" s="128">
        <v>3</v>
      </c>
      <c r="D6" s="128">
        <v>2.5</v>
      </c>
      <c r="E6" s="363">
        <v>488</v>
      </c>
    </row>
    <row r="7" spans="1:5" ht="25.5" customHeight="1">
      <c r="A7" s="362" t="s">
        <v>167</v>
      </c>
      <c r="B7" s="361" t="s">
        <v>437</v>
      </c>
      <c r="C7" s="128">
        <v>3</v>
      </c>
      <c r="D7" s="128">
        <v>3</v>
      </c>
      <c r="E7" s="363">
        <v>525</v>
      </c>
    </row>
    <row r="9" spans="1:5">
      <c r="C9" s="52"/>
      <c r="D9" s="52"/>
      <c r="E9" s="52"/>
    </row>
    <row r="10" spans="1:5">
      <c r="C10" s="52"/>
      <c r="D10" s="52"/>
      <c r="E10" s="52"/>
    </row>
    <row r="11" spans="1:5">
      <c r="C11" s="52"/>
      <c r="D11" s="52"/>
      <c r="E11" s="52"/>
    </row>
    <row r="12" spans="1:5">
      <c r="C12" s="52"/>
      <c r="D12" s="52"/>
      <c r="E12" s="52"/>
    </row>
    <row r="13" spans="1:5">
      <c r="C13" s="52"/>
      <c r="D13" s="52"/>
      <c r="E13" s="52"/>
    </row>
    <row r="14" spans="1:5">
      <c r="C14" s="52"/>
      <c r="D14" s="52"/>
      <c r="E14" s="52"/>
    </row>
  </sheetData>
  <mergeCells count="1">
    <mergeCell ref="C1:E1"/>
  </mergeCells>
  <printOptions horizontalCentered="1"/>
  <pageMargins left="0.7" right="0.7" top="0.75" bottom="0.75" header="0.3" footer="0.3"/>
  <pageSetup scale="97" orientation="portrait" r:id="rId1"/>
  <headerFooter>
    <oddHeader>&amp;L&amp;"Arial,Bold Italic"Privileged and Confidential&amp;C&amp;"Arial,Bold Italic"Ten Mile River Hydro
Phase I Feasibility Study&amp;R&amp;"Arial,Bold Italic"&amp;A</oddHeader>
    <oddFooter>&amp;L&amp;F&amp;C&amp;"Arial,Bold Italic"For Planning Purposes Only&amp;R&amp;G</oddFooter>
  </headerFooter>
  <legacyDrawingHF r:id="rId2"/>
</worksheet>
</file>

<file path=xl/worksheets/sheet46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O11"/>
  <sheetViews>
    <sheetView view="pageBreakPreview" zoomScale="60" zoomScaleNormal="90" workbookViewId="0">
      <selection activeCell="H11" sqref="H11"/>
    </sheetView>
  </sheetViews>
  <sheetFormatPr defaultRowHeight="12.75"/>
  <cols>
    <col min="1" max="1" width="3" customWidth="1"/>
    <col min="3" max="3" width="46.140625" customWidth="1"/>
    <col min="6" max="7" width="12.42578125" customWidth="1"/>
    <col min="10" max="11" width="12.42578125" customWidth="1"/>
    <col min="14" max="15" width="12.42578125" customWidth="1"/>
    <col min="16" max="16" width="3" customWidth="1"/>
  </cols>
  <sheetData>
    <row r="1" spans="1:15" ht="13.5" thickBot="1">
      <c r="B1" s="52"/>
      <c r="D1" s="52"/>
      <c r="E1" s="52"/>
      <c r="H1" s="52"/>
      <c r="I1" s="52"/>
    </row>
    <row r="2" spans="1:15">
      <c r="B2" s="377" t="s">
        <v>229</v>
      </c>
      <c r="C2" s="378"/>
      <c r="D2" s="383" t="s">
        <v>230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5"/>
    </row>
    <row r="3" spans="1:15" ht="13.5" thickBot="1">
      <c r="B3" s="379"/>
      <c r="C3" s="380"/>
      <c r="D3" s="386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8"/>
    </row>
    <row r="4" spans="1:15">
      <c r="B4" s="379"/>
      <c r="C4" s="380"/>
      <c r="D4" s="389" t="s">
        <v>231</v>
      </c>
      <c r="E4" s="390"/>
      <c r="F4" s="390"/>
      <c r="G4" s="390"/>
      <c r="H4" s="390" t="s">
        <v>232</v>
      </c>
      <c r="I4" s="390"/>
      <c r="J4" s="390"/>
      <c r="K4" s="391"/>
      <c r="L4" s="390" t="s">
        <v>233</v>
      </c>
      <c r="M4" s="390"/>
      <c r="N4" s="390"/>
      <c r="O4" s="391"/>
    </row>
    <row r="5" spans="1:15" ht="13.5" thickBot="1">
      <c r="B5" s="381"/>
      <c r="C5" s="382"/>
      <c r="D5" s="144" t="s">
        <v>3</v>
      </c>
      <c r="E5" s="145" t="s">
        <v>234</v>
      </c>
      <c r="F5" s="145" t="s">
        <v>235</v>
      </c>
      <c r="G5" s="145" t="s">
        <v>236</v>
      </c>
      <c r="H5" s="145" t="s">
        <v>3</v>
      </c>
      <c r="I5" s="145" t="s">
        <v>234</v>
      </c>
      <c r="J5" s="145" t="s">
        <v>235</v>
      </c>
      <c r="K5" s="146" t="s">
        <v>236</v>
      </c>
      <c r="L5" s="145" t="s">
        <v>3</v>
      </c>
      <c r="M5" s="145" t="s">
        <v>234</v>
      </c>
      <c r="N5" s="145" t="s">
        <v>235</v>
      </c>
      <c r="O5" s="146" t="s">
        <v>236</v>
      </c>
    </row>
    <row r="6" spans="1:15">
      <c r="B6" s="147">
        <v>1</v>
      </c>
      <c r="C6" s="148" t="s">
        <v>237</v>
      </c>
      <c r="D6" s="149">
        <v>0.33</v>
      </c>
      <c r="E6" s="150" t="s">
        <v>238</v>
      </c>
      <c r="F6" s="151">
        <v>100000</v>
      </c>
      <c r="G6" s="151">
        <f>ROUNDUP(F6*D6,-3)</f>
        <v>33000</v>
      </c>
      <c r="H6" s="150">
        <v>0.52</v>
      </c>
      <c r="I6" s="150" t="s">
        <v>238</v>
      </c>
      <c r="J6" s="151">
        <v>100000</v>
      </c>
      <c r="K6" s="152">
        <f>ROUNDUP(J6*H6,-3)</f>
        <v>52000</v>
      </c>
      <c r="L6" s="150">
        <v>0.15</v>
      </c>
      <c r="M6" s="150" t="s">
        <v>238</v>
      </c>
      <c r="N6" s="151">
        <v>100000</v>
      </c>
      <c r="O6" s="152">
        <f t="shared" ref="O6" si="0">ROUNDUP(N6*L6,-3)</f>
        <v>15000</v>
      </c>
    </row>
    <row r="7" spans="1:15">
      <c r="B7" s="153">
        <v>2</v>
      </c>
      <c r="C7" s="154" t="s">
        <v>239</v>
      </c>
      <c r="D7" s="155">
        <v>1</v>
      </c>
      <c r="E7" s="156" t="s">
        <v>240</v>
      </c>
      <c r="F7" s="157">
        <v>10000</v>
      </c>
      <c r="G7" s="157">
        <f>ROUNDUP(F7*D7,-3)</f>
        <v>10000</v>
      </c>
      <c r="H7" s="156">
        <v>1</v>
      </c>
      <c r="I7" s="156" t="s">
        <v>240</v>
      </c>
      <c r="J7" s="157">
        <v>10000</v>
      </c>
      <c r="K7" s="158">
        <f>ROUNDUP(J7*H7,-3)</f>
        <v>10000</v>
      </c>
      <c r="L7" s="156">
        <v>1</v>
      </c>
      <c r="M7" s="156" t="s">
        <v>240</v>
      </c>
      <c r="N7" s="157">
        <v>10000</v>
      </c>
      <c r="O7" s="158">
        <f>ROUNDUP(N7*L7,-3)</f>
        <v>10000</v>
      </c>
    </row>
    <row r="8" spans="1:15">
      <c r="B8" s="159">
        <v>3</v>
      </c>
      <c r="C8" s="160" t="s">
        <v>241</v>
      </c>
      <c r="D8" s="155">
        <v>3</v>
      </c>
      <c r="E8" s="156" t="s">
        <v>240</v>
      </c>
      <c r="F8" s="157">
        <v>10000</v>
      </c>
      <c r="G8" s="157">
        <f>D8*F8</f>
        <v>30000</v>
      </c>
      <c r="H8" s="156">
        <v>3</v>
      </c>
      <c r="I8" s="156" t="s">
        <v>240</v>
      </c>
      <c r="J8" s="157">
        <v>10000</v>
      </c>
      <c r="K8" s="158">
        <f>H8*J8</f>
        <v>30000</v>
      </c>
      <c r="L8" s="156">
        <v>3</v>
      </c>
      <c r="M8" s="156" t="s">
        <v>240</v>
      </c>
      <c r="N8" s="157">
        <v>10000</v>
      </c>
      <c r="O8" s="158">
        <f t="shared" ref="O8:O9" si="1">L8*N8</f>
        <v>30000</v>
      </c>
    </row>
    <row r="9" spans="1:15">
      <c r="B9" s="159">
        <v>4</v>
      </c>
      <c r="C9" s="160" t="s">
        <v>242</v>
      </c>
      <c r="D9" s="155">
        <v>1</v>
      </c>
      <c r="E9" s="156" t="s">
        <v>240</v>
      </c>
      <c r="F9" s="157">
        <v>10000</v>
      </c>
      <c r="G9" s="157">
        <f>D9*F9</f>
        <v>10000</v>
      </c>
      <c r="H9" s="156">
        <v>1</v>
      </c>
      <c r="I9" s="156" t="s">
        <v>240</v>
      </c>
      <c r="J9" s="157">
        <v>10000</v>
      </c>
      <c r="K9" s="158">
        <f>H9*J9</f>
        <v>10000</v>
      </c>
      <c r="L9" s="156">
        <v>1</v>
      </c>
      <c r="M9" s="156" t="s">
        <v>240</v>
      </c>
      <c r="N9" s="157">
        <v>10000</v>
      </c>
      <c r="O9" s="158">
        <f t="shared" si="1"/>
        <v>10000</v>
      </c>
    </row>
    <row r="10" spans="1:15" ht="38.25">
      <c r="B10" s="161">
        <v>5</v>
      </c>
      <c r="C10" s="169" t="s">
        <v>243</v>
      </c>
      <c r="D10" s="162">
        <v>1</v>
      </c>
      <c r="E10" s="128" t="s">
        <v>240</v>
      </c>
      <c r="F10" s="163">
        <v>20000</v>
      </c>
      <c r="G10" s="163">
        <f>ROUNDUP(F10*D10,-3)</f>
        <v>20000</v>
      </c>
      <c r="H10" s="128">
        <v>1</v>
      </c>
      <c r="I10" s="128" t="s">
        <v>240</v>
      </c>
      <c r="J10" s="163">
        <v>20000</v>
      </c>
      <c r="K10" s="164">
        <f>ROUNDUP(J10*H10,-3)</f>
        <v>20000</v>
      </c>
      <c r="L10" s="128">
        <v>1</v>
      </c>
      <c r="M10" s="128" t="s">
        <v>240</v>
      </c>
      <c r="N10" s="163">
        <v>20000</v>
      </c>
      <c r="O10" s="164">
        <f t="shared" ref="O10" si="2">ROUNDUP(N10*L10,-3)</f>
        <v>20000</v>
      </c>
    </row>
    <row r="11" spans="1:15" ht="13.5" thickBot="1">
      <c r="A11" s="2"/>
      <c r="B11" s="165"/>
      <c r="C11" s="166" t="s">
        <v>187</v>
      </c>
      <c r="D11" s="144"/>
      <c r="E11" s="145"/>
      <c r="F11" s="167"/>
      <c r="G11" s="167">
        <f>SUM(G6:G10)</f>
        <v>103000</v>
      </c>
      <c r="H11" s="145"/>
      <c r="I11" s="145"/>
      <c r="J11" s="167"/>
      <c r="K11" s="168">
        <f>SUM(K6:K10)</f>
        <v>122000</v>
      </c>
      <c r="L11" s="145"/>
      <c r="M11" s="145"/>
      <c r="N11" s="167"/>
      <c r="O11" s="168">
        <f>SUM(O6:O10)</f>
        <v>85000</v>
      </c>
    </row>
  </sheetData>
  <mergeCells count="5">
    <mergeCell ref="B2:C5"/>
    <mergeCell ref="D2:O3"/>
    <mergeCell ref="D4:G4"/>
    <mergeCell ref="H4:K4"/>
    <mergeCell ref="L4:O4"/>
  </mergeCells>
  <pageMargins left="0.7" right="0.7" top="0.75" bottom="0.75" header="0.3" footer="0.3"/>
  <pageSetup scale="64" fitToWidth="2" orientation="landscape" r:id="rId1"/>
  <headerFooter>
    <oddHeader>&amp;L&amp;"Arial,Bold Italic"Privileged and Confidential&amp;C&amp;"Arial,Bold Italic"Ten Mile River Hydro
Phase I Feasibility Study&amp;R&amp;"Arial,Bold Italic"&amp;A</oddHeader>
    <oddFooter>&amp;L&amp;F&amp;C&amp;"Arial,Bold Italic"For Planning Purposes Only&amp;R&amp;G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/>
  </sheetViews>
  <sheetFormatPr defaultRowHeight="12.75"/>
  <cols>
    <col min="1" max="1" width="34.140625" style="55" bestFit="1" customWidth="1"/>
    <col min="2" max="16384" width="9.140625" style="55"/>
  </cols>
  <sheetData>
    <row r="1" spans="1:10" ht="15" customHeight="1">
      <c r="B1" s="368" t="s">
        <v>421</v>
      </c>
      <c r="C1" s="368"/>
      <c r="D1" s="368"/>
      <c r="E1" s="368"/>
      <c r="F1" s="368"/>
      <c r="G1" s="368"/>
    </row>
    <row r="3" spans="1:10" ht="38.25">
      <c r="A3" s="347" t="s">
        <v>416</v>
      </c>
      <c r="B3" s="236" t="s">
        <v>411</v>
      </c>
      <c r="C3" s="236" t="s">
        <v>410</v>
      </c>
      <c r="D3" s="236" t="s">
        <v>415</v>
      </c>
      <c r="E3" s="347" t="s">
        <v>409</v>
      </c>
      <c r="F3" s="347" t="s">
        <v>188</v>
      </c>
      <c r="G3" s="236" t="s">
        <v>414</v>
      </c>
    </row>
    <row r="4" spans="1:10" ht="15" customHeight="1">
      <c r="A4" s="178" t="s">
        <v>422</v>
      </c>
      <c r="B4" s="347"/>
      <c r="C4" s="347"/>
      <c r="D4" s="353"/>
      <c r="E4" s="347"/>
      <c r="F4" s="347"/>
      <c r="G4" s="347"/>
      <c r="H4" s="59"/>
      <c r="I4" s="59"/>
      <c r="J4" s="59"/>
    </row>
    <row r="5" spans="1:10" ht="15" customHeight="1">
      <c r="A5" s="354" t="s">
        <v>418</v>
      </c>
      <c r="B5" s="352">
        <f>'Summary - Cash'!B16</f>
        <v>4720.7115984317606</v>
      </c>
      <c r="C5" s="350">
        <f>'Summary - Cash'!C16</f>
        <v>287.65021400955015</v>
      </c>
      <c r="D5" s="350">
        <f>'Summary - Cash'!E16</f>
        <v>830.8921511680087</v>
      </c>
      <c r="E5" s="352">
        <f>'Summary - Cash'!D16</f>
        <v>16411.291799960316</v>
      </c>
      <c r="F5" s="351">
        <f>'Summary - Cash'!I16</f>
        <v>-1.1556840833269513E-2</v>
      </c>
      <c r="G5" s="352">
        <f>'Summary - Cash'!J16</f>
        <v>-1858.3048394386769</v>
      </c>
      <c r="H5" s="59"/>
      <c r="I5" s="59"/>
      <c r="J5" s="59"/>
    </row>
    <row r="6" spans="1:10" ht="15" customHeight="1">
      <c r="A6" s="354" t="s">
        <v>419</v>
      </c>
      <c r="B6" s="352">
        <f>'Summary - Cash'!B17</f>
        <v>4211.9853866107196</v>
      </c>
      <c r="C6" s="350">
        <f>'Summary - Cash'!C17</f>
        <v>282.25837790152985</v>
      </c>
      <c r="D6" s="350">
        <f>'Summary - Cash'!E17</f>
        <v>742.55881783248662</v>
      </c>
      <c r="E6" s="352">
        <f>'Summary - Cash'!D17</f>
        <v>14922.445944474799</v>
      </c>
      <c r="F6" s="351">
        <f>'Summary - Cash'!I17</f>
        <v>-1.2306414907746553E-2</v>
      </c>
      <c r="G6" s="352">
        <f>'Summary - Cash'!J17</f>
        <v>-1675.1165568712727</v>
      </c>
      <c r="H6" s="59"/>
      <c r="I6" s="59"/>
      <c r="J6" s="59"/>
    </row>
    <row r="7" spans="1:10" ht="15" customHeight="1">
      <c r="B7" s="352"/>
      <c r="C7" s="59"/>
      <c r="D7" s="350"/>
      <c r="E7" s="352"/>
      <c r="F7" s="59"/>
      <c r="G7" s="352"/>
      <c r="H7" s="59"/>
      <c r="I7" s="59"/>
      <c r="J7" s="59"/>
    </row>
    <row r="8" spans="1:10" ht="15" customHeight="1">
      <c r="A8" s="347" t="s">
        <v>417</v>
      </c>
      <c r="B8" s="352"/>
      <c r="C8" s="59"/>
      <c r="D8" s="350"/>
      <c r="E8" s="352"/>
      <c r="F8" s="59"/>
      <c r="G8" s="352"/>
      <c r="H8" s="59"/>
      <c r="I8" s="59"/>
      <c r="J8" s="59"/>
    </row>
    <row r="9" spans="1:10" ht="15" customHeight="1">
      <c r="A9" s="354" t="s">
        <v>418</v>
      </c>
      <c r="B9" s="352">
        <f>'Summary - Cash'!B19</f>
        <v>3325.6498013789601</v>
      </c>
      <c r="C9" s="350">
        <f>'Summary - Cash'!C19</f>
        <v>184.08434802291492</v>
      </c>
      <c r="D9" s="350">
        <f>'Summary - Cash'!E19</f>
        <v>524.1768172904118</v>
      </c>
      <c r="E9" s="352">
        <f>'Summary - Cash'!D19</f>
        <v>18065.902055752082</v>
      </c>
      <c r="F9" s="351" t="e">
        <f>'Summary - Cash'!I19</f>
        <v>#NUM!</v>
      </c>
      <c r="G9" s="352">
        <f>'Summary - Cash'!J19</f>
        <v>-1707.485810752398</v>
      </c>
      <c r="H9" s="59"/>
      <c r="I9" s="59"/>
      <c r="J9" s="59"/>
    </row>
    <row r="10" spans="1:10" ht="15" customHeight="1">
      <c r="A10" s="354" t="s">
        <v>419</v>
      </c>
      <c r="B10" s="352">
        <f>'Summary - Cash'!B20</f>
        <v>2836.36358955792</v>
      </c>
      <c r="C10" s="350">
        <f>'Summary - Cash'!C20</f>
        <v>178.04906116573295</v>
      </c>
      <c r="D10" s="350">
        <f>'Summary - Cash'!E20</f>
        <v>463.92858391587879</v>
      </c>
      <c r="E10" s="352">
        <f>'Summary - Cash'!D20</f>
        <v>15930.236143833159</v>
      </c>
      <c r="F10" s="351" t="e">
        <f>'Summary - Cash'!I20</f>
        <v>#NUM!</v>
      </c>
      <c r="G10" s="352">
        <f>'Summary - Cash'!J20</f>
        <v>-1396.590137340713</v>
      </c>
      <c r="H10" s="59"/>
      <c r="I10" s="59"/>
      <c r="J10" s="59"/>
    </row>
    <row r="11" spans="1:10" ht="15" customHeight="1">
      <c r="A11" s="354" t="s">
        <v>420</v>
      </c>
      <c r="B11" s="352">
        <f>'Summary - Cash'!B21</f>
        <v>2703.3431964667202</v>
      </c>
      <c r="C11" s="350">
        <f>'Summary - Cash'!C21</f>
        <v>110.0337152195701</v>
      </c>
      <c r="D11" s="350">
        <f>'Summary - Cash'!E21</f>
        <v>334.83961767713572</v>
      </c>
      <c r="E11" s="352">
        <f>'Summary - Cash'!D21</f>
        <v>24568.317002404696</v>
      </c>
      <c r="F11" s="351" t="e">
        <f>'Summary - Cash'!I21</f>
        <v>#DIV/0!</v>
      </c>
      <c r="G11" s="352">
        <f>'Summary - Cash'!J21</f>
        <v>-1874.5144021303383</v>
      </c>
      <c r="H11" s="59"/>
      <c r="I11" s="59"/>
      <c r="J11" s="59"/>
    </row>
    <row r="12" spans="1:10" ht="15" customHeight="1">
      <c r="A12" s="108"/>
      <c r="B12" s="352"/>
      <c r="C12" s="59"/>
      <c r="D12" s="350"/>
      <c r="E12" s="352"/>
      <c r="F12" s="59"/>
      <c r="G12" s="352"/>
      <c r="H12" s="59"/>
      <c r="I12" s="59"/>
      <c r="J12" s="59"/>
    </row>
    <row r="13" spans="1:10" ht="15" customHeight="1">
      <c r="A13" s="349"/>
      <c r="B13" s="352"/>
      <c r="C13" s="350"/>
      <c r="D13" s="350"/>
      <c r="E13" s="352"/>
      <c r="F13" s="351"/>
      <c r="G13" s="352"/>
      <c r="H13" s="59"/>
      <c r="I13" s="59"/>
      <c r="J13" s="59"/>
    </row>
    <row r="14" spans="1:10" ht="15" customHeight="1">
      <c r="B14" s="59"/>
      <c r="C14" s="59"/>
      <c r="D14" s="350"/>
      <c r="E14" s="352"/>
      <c r="F14" s="59"/>
      <c r="G14" s="59"/>
      <c r="H14" s="59"/>
      <c r="I14" s="59"/>
      <c r="J14" s="59"/>
    </row>
    <row r="15" spans="1:10" ht="15" customHeight="1">
      <c r="B15" s="59"/>
      <c r="C15" s="59"/>
      <c r="D15" s="350"/>
      <c r="E15" s="59"/>
      <c r="F15" s="59"/>
      <c r="G15" s="59"/>
      <c r="H15" s="59"/>
      <c r="I15" s="59"/>
      <c r="J15" s="59"/>
    </row>
    <row r="16" spans="1:10" ht="15" customHeight="1">
      <c r="B16" s="59"/>
      <c r="C16" s="59"/>
      <c r="D16" s="350"/>
      <c r="E16" s="59"/>
      <c r="F16" s="59"/>
      <c r="G16" s="59"/>
      <c r="H16" s="59"/>
      <c r="I16" s="59"/>
      <c r="J16" s="59"/>
    </row>
    <row r="17" spans="2:10">
      <c r="B17" s="59"/>
      <c r="C17" s="59"/>
      <c r="D17" s="350"/>
      <c r="E17" s="59"/>
      <c r="F17" s="59"/>
      <c r="G17" s="59"/>
      <c r="H17" s="59"/>
      <c r="I17" s="59"/>
      <c r="J17" s="59"/>
    </row>
    <row r="18" spans="2:10">
      <c r="B18" s="59"/>
      <c r="C18" s="59"/>
      <c r="D18" s="350"/>
      <c r="E18" s="59"/>
      <c r="F18" s="59"/>
      <c r="G18" s="59"/>
      <c r="H18" s="59"/>
      <c r="I18" s="59"/>
      <c r="J18" s="59"/>
    </row>
    <row r="19" spans="2:10">
      <c r="B19" s="59"/>
      <c r="C19" s="59"/>
      <c r="D19" s="59"/>
      <c r="E19" s="59"/>
      <c r="F19" s="59"/>
      <c r="G19" s="59"/>
      <c r="H19" s="59"/>
      <c r="I19" s="59"/>
      <c r="J19" s="59"/>
    </row>
    <row r="20" spans="2:10">
      <c r="B20" s="59"/>
      <c r="C20" s="59"/>
      <c r="D20" s="59"/>
      <c r="E20" s="59"/>
      <c r="F20" s="59"/>
      <c r="G20" s="59"/>
      <c r="H20" s="59"/>
      <c r="I20" s="59"/>
      <c r="J20" s="59"/>
    </row>
    <row r="21" spans="2:10">
      <c r="B21" s="59"/>
      <c r="C21" s="59"/>
      <c r="D21" s="59"/>
      <c r="E21" s="59"/>
      <c r="F21" s="59"/>
      <c r="G21" s="59"/>
      <c r="H21" s="59"/>
      <c r="I21" s="59"/>
      <c r="J21" s="59"/>
    </row>
  </sheetData>
  <mergeCells count="1">
    <mergeCell ref="B1:G1"/>
  </mergeCells>
  <conditionalFormatting sqref="B4:J21">
    <cfRule type="containsErrors" dxfId="25" priority="1">
      <formula>ISERROR(B4)</formula>
    </cfRule>
  </conditionalFormatting>
  <printOptions horizontalCentered="1"/>
  <pageMargins left="0.7" right="0.7" top="0.75" bottom="0.75" header="0.3" footer="0.3"/>
  <pageSetup orientation="portrait" r:id="rId1"/>
  <headerFooter>
    <oddHeader>&amp;LEast Providence&amp;C Ten Mile River Feasibility Study&amp;R&amp;A</oddHeader>
    <oddFooter>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  <pageSetUpPr fitToPage="1"/>
  </sheetPr>
  <dimension ref="A1:K49"/>
  <sheetViews>
    <sheetView view="pageBreakPreview" topLeftCell="A14" zoomScaleNormal="100" zoomScaleSheetLayoutView="100" workbookViewId="0">
      <selection activeCell="B35" sqref="B35:J35"/>
    </sheetView>
  </sheetViews>
  <sheetFormatPr defaultRowHeight="12.75"/>
  <cols>
    <col min="2" max="2" width="12.42578125" customWidth="1"/>
    <col min="3" max="3" width="11.28515625" customWidth="1"/>
    <col min="4" max="4" width="12" customWidth="1"/>
    <col min="11" max="11" width="9.28515625" customWidth="1"/>
  </cols>
  <sheetData>
    <row r="1" spans="1:11" s="55" customFormat="1" ht="15.95" customHeight="1">
      <c r="A1" s="109" t="s">
        <v>223</v>
      </c>
      <c r="B1" s="178" t="s">
        <v>254</v>
      </c>
      <c r="D1" s="121"/>
      <c r="E1" s="121"/>
    </row>
    <row r="2" spans="1:11" s="55" customFormat="1" ht="15.95" customHeight="1">
      <c r="A2" s="59" t="s">
        <v>165</v>
      </c>
      <c r="B2" s="179" t="s">
        <v>210</v>
      </c>
    </row>
    <row r="3" spans="1:11" s="55" customFormat="1" ht="15.95" customHeight="1">
      <c r="A3" s="59" t="s">
        <v>166</v>
      </c>
      <c r="B3" s="179" t="s">
        <v>220</v>
      </c>
      <c r="F3" s="115"/>
    </row>
    <row r="4" spans="1:11" s="55" customFormat="1" ht="15.95" customHeight="1">
      <c r="A4" s="59" t="s">
        <v>167</v>
      </c>
      <c r="B4" s="179" t="s">
        <v>222</v>
      </c>
      <c r="D4" s="177" t="s">
        <v>275</v>
      </c>
      <c r="E4" s="179" t="s">
        <v>450</v>
      </c>
      <c r="I4" s="177"/>
      <c r="J4" s="179"/>
    </row>
    <row r="5" spans="1:11" s="55" customFormat="1" ht="15.95" customHeight="1">
      <c r="A5" s="177" t="s">
        <v>224</v>
      </c>
      <c r="B5" s="179" t="s">
        <v>209</v>
      </c>
    </row>
    <row r="6" spans="1:11" s="55" customFormat="1" ht="15.95" customHeight="1">
      <c r="A6" s="177" t="s">
        <v>225</v>
      </c>
      <c r="B6" s="179" t="s">
        <v>255</v>
      </c>
      <c r="D6" s="177" t="s">
        <v>276</v>
      </c>
      <c r="E6" s="179" t="s">
        <v>450</v>
      </c>
      <c r="H6" s="177" t="s">
        <v>299</v>
      </c>
      <c r="I6" s="179" t="s">
        <v>370</v>
      </c>
    </row>
    <row r="7" spans="1:11" s="55" customFormat="1" ht="15.95" customHeight="1">
      <c r="A7" s="177" t="s">
        <v>226</v>
      </c>
      <c r="B7" s="179" t="s">
        <v>256</v>
      </c>
    </row>
    <row r="8" spans="1:11" s="55" customFormat="1" ht="15.95" customHeight="1">
      <c r="A8" s="368" t="s">
        <v>197</v>
      </c>
      <c r="B8" s="368"/>
      <c r="C8" s="368"/>
      <c r="D8" s="368"/>
      <c r="E8" s="368"/>
      <c r="F8" s="368"/>
      <c r="G8" s="368"/>
      <c r="H8" s="368"/>
      <c r="I8" s="368"/>
      <c r="J8" s="368"/>
    </row>
    <row r="9" spans="1:11" s="55" customFormat="1" ht="15.95" customHeight="1">
      <c r="B9" s="115" t="s">
        <v>169</v>
      </c>
      <c r="C9" s="119">
        <v>2.5000000000000001E-2</v>
      </c>
      <c r="E9" s="115" t="s">
        <v>168</v>
      </c>
      <c r="F9" s="117">
        <v>0.05</v>
      </c>
      <c r="H9" s="117"/>
      <c r="I9" s="369" t="s">
        <v>423</v>
      </c>
      <c r="J9" s="370"/>
    </row>
    <row r="10" spans="1:11" s="55" customFormat="1" ht="15.95" customHeight="1">
      <c r="A10" s="59"/>
      <c r="B10" s="115" t="s">
        <v>196</v>
      </c>
      <c r="C10" s="118">
        <v>25</v>
      </c>
      <c r="E10" s="115" t="s">
        <v>198</v>
      </c>
      <c r="F10" s="123">
        <v>20</v>
      </c>
      <c r="I10" s="370"/>
      <c r="J10" s="370"/>
    </row>
    <row r="11" spans="1:11" s="55" customFormat="1" ht="15.95" customHeight="1">
      <c r="B11" s="177"/>
      <c r="C11" s="179"/>
    </row>
    <row r="12" spans="1:11" s="55" customFormat="1" ht="15.95" customHeight="1">
      <c r="A12" s="368" t="s">
        <v>301</v>
      </c>
      <c r="B12" s="368"/>
      <c r="C12" s="368"/>
      <c r="D12" s="368"/>
      <c r="E12" s="368"/>
      <c r="F12" s="368"/>
      <c r="G12" s="368"/>
      <c r="H12" s="368"/>
      <c r="I12" s="368"/>
      <c r="J12" s="368"/>
    </row>
    <row r="13" spans="1:11" s="116" customFormat="1" ht="59.25" customHeight="1" thickBot="1">
      <c r="A13" s="124" t="s">
        <v>189</v>
      </c>
      <c r="B13" s="5" t="s">
        <v>193</v>
      </c>
      <c r="C13" s="5" t="s">
        <v>194</v>
      </c>
      <c r="D13" s="5" t="s">
        <v>207</v>
      </c>
      <c r="E13" s="5" t="s">
        <v>195</v>
      </c>
      <c r="F13" s="5" t="s">
        <v>190</v>
      </c>
      <c r="G13" s="5" t="s">
        <v>191</v>
      </c>
      <c r="H13" s="5" t="s">
        <v>192</v>
      </c>
      <c r="I13" s="5" t="s">
        <v>394</v>
      </c>
      <c r="J13" s="5" t="s">
        <v>205</v>
      </c>
      <c r="K13" s="5"/>
    </row>
    <row r="14" spans="1:11" s="55" customFormat="1" ht="15.95" customHeight="1">
      <c r="A14" s="339" t="s">
        <v>165</v>
      </c>
      <c r="B14" s="182">
        <f>'Proforma A'!C$10</f>
        <v>3326.1606763089185</v>
      </c>
      <c r="C14" s="182">
        <f>Energy!$I$4</f>
        <v>204.50209102286885</v>
      </c>
      <c r="D14" s="182">
        <f>B14*1000/C14</f>
        <v>16264.678075770697</v>
      </c>
      <c r="E14" s="182">
        <f>Energy!$J$4</f>
        <v>715.44874771642424</v>
      </c>
      <c r="F14" s="117">
        <v>0.25</v>
      </c>
      <c r="G14" s="117">
        <v>0.15</v>
      </c>
      <c r="H14" s="118">
        <v>125</v>
      </c>
      <c r="I14" s="207">
        <f>'Proforma A'!H31</f>
        <v>2.520592783790163E-2</v>
      </c>
      <c r="J14" s="182">
        <f>'Proforma A'!K$31</f>
        <v>-665.41013462219985</v>
      </c>
      <c r="K14" s="209"/>
    </row>
    <row r="15" spans="1:11" s="55" customFormat="1" ht="15.95" customHeight="1">
      <c r="A15" s="180" t="s">
        <v>166</v>
      </c>
      <c r="B15" s="182">
        <f>'Proforma B'!C$10</f>
        <v>4366.4040088738402</v>
      </c>
      <c r="C15" s="182">
        <f>Energy!$I$5</f>
        <v>155.61405020188778</v>
      </c>
      <c r="D15" s="182">
        <f>B15*1000/C15</f>
        <v>28059.188763540518</v>
      </c>
      <c r="E15" s="182">
        <f>Energy!$J$5</f>
        <v>455.68946351137379</v>
      </c>
      <c r="F15" s="117">
        <f>F$14</f>
        <v>0.25</v>
      </c>
      <c r="G15" s="117">
        <f>G$14</f>
        <v>0.15</v>
      </c>
      <c r="H15" s="118">
        <v>125</v>
      </c>
      <c r="I15" s="207" t="e">
        <f>'Proforma B'!H$31</f>
        <v>#DIV/0!</v>
      </c>
      <c r="J15" s="182">
        <f>'Proforma B'!K$31</f>
        <v>-3072.8712617974425</v>
      </c>
      <c r="K15" s="209"/>
    </row>
    <row r="16" spans="1:11" s="55" customFormat="1" ht="15.95" customHeight="1">
      <c r="A16" s="180" t="s">
        <v>167</v>
      </c>
      <c r="B16" s="182">
        <f>'Proforma C'!C$10</f>
        <v>4720.7115984317606</v>
      </c>
      <c r="C16" s="182">
        <f>Energy!$I$6</f>
        <v>287.65021400955015</v>
      </c>
      <c r="D16" s="182">
        <f t="shared" ref="D16" si="0">B16*1000/C16</f>
        <v>16411.291799960316</v>
      </c>
      <c r="E16" s="182">
        <f>Energy!$J$6</f>
        <v>830.8921511680087</v>
      </c>
      <c r="F16" s="117">
        <f t="shared" ref="F16:G22" si="1">F$14</f>
        <v>0.25</v>
      </c>
      <c r="G16" s="117">
        <f t="shared" si="1"/>
        <v>0.15</v>
      </c>
      <c r="H16" s="118">
        <v>125</v>
      </c>
      <c r="I16" s="207">
        <f>'Proforma C'!H$31</f>
        <v>-1.1556840833269513E-2</v>
      </c>
      <c r="J16" s="182">
        <f>'Proforma C'!K$31</f>
        <v>-1858.3048394386769</v>
      </c>
      <c r="K16" s="209"/>
    </row>
    <row r="17" spans="1:11" s="55" customFormat="1" ht="15.95" customHeight="1">
      <c r="A17" s="181" t="s">
        <v>275</v>
      </c>
      <c r="B17" s="182">
        <f>'Proforma C-2'!C$10</f>
        <v>4211.9853866107196</v>
      </c>
      <c r="C17" s="182">
        <f>Energy!$I$7</f>
        <v>282.25837790152985</v>
      </c>
      <c r="D17" s="182">
        <f t="shared" ref="D17" si="2">B17*1000/C17</f>
        <v>14922.445944474799</v>
      </c>
      <c r="E17" s="182">
        <f>Energy!$J$7</f>
        <v>742.55881783248662</v>
      </c>
      <c r="F17" s="117">
        <f t="shared" si="1"/>
        <v>0.25</v>
      </c>
      <c r="G17" s="117">
        <f t="shared" si="1"/>
        <v>0.15</v>
      </c>
      <c r="H17" s="118">
        <v>125</v>
      </c>
      <c r="I17" s="207">
        <f>'Proforma C-2'!H$31</f>
        <v>-1.2306414907746553E-2</v>
      </c>
      <c r="J17" s="182">
        <f>'Proforma C-2'!K$31</f>
        <v>-1675.1165568712727</v>
      </c>
      <c r="K17" s="209"/>
    </row>
    <row r="18" spans="1:11" s="55" customFormat="1" ht="15.95" customHeight="1">
      <c r="A18" s="181" t="s">
        <v>224</v>
      </c>
      <c r="B18" s="182">
        <f>'Proforma D'!C$10</f>
        <v>3363.7446763089183</v>
      </c>
      <c r="C18" s="182">
        <f>Energy!I8</f>
        <v>111.64708753140407</v>
      </c>
      <c r="D18" s="182">
        <f>B18*1000/C18</f>
        <v>30128.369227390413</v>
      </c>
      <c r="E18" s="182">
        <f>Energy!J8</f>
        <v>400.03832920992807</v>
      </c>
      <c r="F18" s="117">
        <f t="shared" si="1"/>
        <v>0.25</v>
      </c>
      <c r="G18" s="117">
        <f t="shared" si="1"/>
        <v>0.15</v>
      </c>
      <c r="H18" s="118">
        <v>125</v>
      </c>
      <c r="I18" s="207" t="e">
        <f>'Proforma D'!$H$31</f>
        <v>#DIV/0!</v>
      </c>
      <c r="J18" s="182">
        <f>'Proforma D'!K$31</f>
        <v>-2313.9549791592613</v>
      </c>
      <c r="K18" s="209"/>
    </row>
    <row r="19" spans="1:11" s="55" customFormat="1" ht="15.95" customHeight="1">
      <c r="A19" s="181" t="s">
        <v>225</v>
      </c>
      <c r="B19" s="182">
        <f>'Proforma E'!$C$10</f>
        <v>3325.6498013789601</v>
      </c>
      <c r="C19" s="182">
        <f>Energy!$I$9</f>
        <v>184.08434802291492</v>
      </c>
      <c r="D19" s="182">
        <f t="shared" ref="D19" si="3">B19*1000/C19</f>
        <v>18065.902055752082</v>
      </c>
      <c r="E19" s="182">
        <f>Energy!$J$9</f>
        <v>524.1768172904118</v>
      </c>
      <c r="F19" s="117">
        <f t="shared" si="1"/>
        <v>0.25</v>
      </c>
      <c r="G19" s="117">
        <f t="shared" si="1"/>
        <v>0.15</v>
      </c>
      <c r="H19" s="118">
        <v>125</v>
      </c>
      <c r="I19" s="207" t="e">
        <f>'Proforma E'!$H$31</f>
        <v>#NUM!</v>
      </c>
      <c r="J19" s="182">
        <f>'Proforma E'!$K$31</f>
        <v>-1707.485810752398</v>
      </c>
      <c r="K19" s="209"/>
    </row>
    <row r="20" spans="1:11" s="55" customFormat="1" ht="15.95" customHeight="1">
      <c r="A20" s="181" t="s">
        <v>276</v>
      </c>
      <c r="B20" s="182">
        <f>'Proforma E-2'!$C$10</f>
        <v>2836.36358955792</v>
      </c>
      <c r="C20" s="182">
        <f>Energy!$I$10</f>
        <v>178.04906116573295</v>
      </c>
      <c r="D20" s="182">
        <f t="shared" ref="D20:D21" si="4">B20*1000/C20</f>
        <v>15930.236143833159</v>
      </c>
      <c r="E20" s="182">
        <f>Energy!$J$10</f>
        <v>463.92858391587879</v>
      </c>
      <c r="F20" s="117">
        <f t="shared" si="1"/>
        <v>0.25</v>
      </c>
      <c r="G20" s="117">
        <f t="shared" si="1"/>
        <v>0.15</v>
      </c>
      <c r="H20" s="118">
        <v>125</v>
      </c>
      <c r="I20" s="207" t="e">
        <f>'Proforma E-2'!$H$31</f>
        <v>#NUM!</v>
      </c>
      <c r="J20" s="182">
        <f>'Proforma E-2'!$K$31</f>
        <v>-1396.590137340713</v>
      </c>
      <c r="K20" s="209"/>
    </row>
    <row r="21" spans="1:11" s="55" customFormat="1" ht="15.95" customHeight="1">
      <c r="A21" s="181" t="s">
        <v>299</v>
      </c>
      <c r="B21" s="182">
        <f>'Proforma E-3'!$C$10</f>
        <v>2703.3431964667202</v>
      </c>
      <c r="C21" s="182">
        <f>Energy!$I$11</f>
        <v>110.0337152195701</v>
      </c>
      <c r="D21" s="182">
        <f t="shared" si="4"/>
        <v>24568.317002404696</v>
      </c>
      <c r="E21" s="182">
        <f>Energy!$J$11</f>
        <v>334.83961767713572</v>
      </c>
      <c r="F21" s="117">
        <f t="shared" si="1"/>
        <v>0.25</v>
      </c>
      <c r="G21" s="117">
        <f t="shared" si="1"/>
        <v>0.15</v>
      </c>
      <c r="H21" s="118">
        <v>125</v>
      </c>
      <c r="I21" s="207" t="e">
        <f>'Proforma E-3'!$H$31</f>
        <v>#DIV/0!</v>
      </c>
      <c r="J21" s="182">
        <f>'Proforma E-3'!$K$31</f>
        <v>-1874.5144021303383</v>
      </c>
      <c r="K21" s="209"/>
    </row>
    <row r="22" spans="1:11" s="55" customFormat="1" ht="15.95" customHeight="1">
      <c r="A22" s="342" t="s">
        <v>226</v>
      </c>
      <c r="B22" s="182">
        <f>'Proforma F'!$C$10</f>
        <v>3276.9126763089184</v>
      </c>
      <c r="C22" s="182">
        <f>Energy!$I$12</f>
        <v>103.90917057378202</v>
      </c>
      <c r="D22" s="182">
        <f>B22*1000/C22</f>
        <v>31536.318288500868</v>
      </c>
      <c r="E22" s="182">
        <f>Energy!$J$12</f>
        <v>373.75412766772007</v>
      </c>
      <c r="F22" s="117">
        <f t="shared" si="1"/>
        <v>0.25</v>
      </c>
      <c r="G22" s="117">
        <f t="shared" si="1"/>
        <v>0.15</v>
      </c>
      <c r="H22" s="118">
        <v>125</v>
      </c>
      <c r="I22" s="207" t="e">
        <f>'Proforma F'!H31</f>
        <v>#DIV/0!</v>
      </c>
      <c r="J22" s="182">
        <f>'Proforma F'!$K$31</f>
        <v>-2293.6661180695492</v>
      </c>
      <c r="K22" s="209"/>
    </row>
    <row r="23" spans="1:11" s="55" customFormat="1" ht="15.95" customHeight="1">
      <c r="A23" s="58"/>
      <c r="B23" s="58"/>
      <c r="C23" s="58"/>
      <c r="D23" s="58"/>
      <c r="E23" s="58"/>
      <c r="F23" s="56"/>
      <c r="G23" s="56"/>
      <c r="H23" s="56"/>
      <c r="I23" s="56"/>
      <c r="J23" s="56"/>
      <c r="K23" s="56"/>
    </row>
    <row r="24" spans="1:11" s="55" customFormat="1" ht="15.95" customHeight="1">
      <c r="A24" s="368" t="s">
        <v>309</v>
      </c>
      <c r="B24" s="368"/>
      <c r="C24" s="368"/>
      <c r="D24" s="368"/>
      <c r="E24" s="368"/>
      <c r="F24" s="368"/>
      <c r="G24" s="368"/>
      <c r="H24" s="368"/>
      <c r="I24" s="368"/>
      <c r="J24" s="368"/>
    </row>
    <row r="25" spans="1:11" s="55" customFormat="1" ht="43.5" customHeight="1" thickBot="1">
      <c r="A25" s="124" t="s">
        <v>189</v>
      </c>
      <c r="B25" s="5" t="s">
        <v>193</v>
      </c>
      <c r="C25" s="5" t="s">
        <v>194</v>
      </c>
      <c r="D25" s="5" t="s">
        <v>207</v>
      </c>
      <c r="E25" s="5" t="s">
        <v>195</v>
      </c>
      <c r="F25" s="5" t="s">
        <v>190</v>
      </c>
      <c r="G25" s="5" t="s">
        <v>191</v>
      </c>
      <c r="H25" s="5" t="s">
        <v>192</v>
      </c>
      <c r="I25" s="5" t="s">
        <v>188</v>
      </c>
      <c r="J25" s="5" t="s">
        <v>205</v>
      </c>
    </row>
    <row r="26" spans="1:11" s="55" customFormat="1" ht="15.95" customHeight="1">
      <c r="A26" s="181" t="s">
        <v>166</v>
      </c>
      <c r="B26" s="182">
        <f>'Proforma B (1-2 min flow)'!C$10</f>
        <v>4626.1804684338176</v>
      </c>
      <c r="C26" s="182">
        <f>Energy!I16</f>
        <v>176.27797603973011</v>
      </c>
      <c r="D26" s="182">
        <f>B26*1000/C26</f>
        <v>26243.666806062909</v>
      </c>
      <c r="E26" s="182">
        <f>Energy!J16</f>
        <v>625.95687117663044</v>
      </c>
      <c r="F26" s="117">
        <f t="shared" ref="F26:G28" si="5">F$14</f>
        <v>0.25</v>
      </c>
      <c r="G26" s="117">
        <f t="shared" si="5"/>
        <v>0.15</v>
      </c>
      <c r="H26" s="118">
        <v>125</v>
      </c>
      <c r="I26" s="207" t="e">
        <f>'Proforma B (1-2 min flow)'!H31</f>
        <v>#DIV/0!</v>
      </c>
      <c r="J26" s="182">
        <f>'Proforma B (1-2 min flow)'!K31</f>
        <v>-2852.0124493657454</v>
      </c>
    </row>
    <row r="27" spans="1:11" s="55" customFormat="1" ht="15.95" customHeight="1">
      <c r="A27" s="181" t="s">
        <v>167</v>
      </c>
      <c r="B27" s="182">
        <f>'Proforma C (1-2 min flow)'!C$10</f>
        <v>4976.0082243799361</v>
      </c>
      <c r="C27" s="182">
        <f>Energy!$I17</f>
        <v>326.41587198231383</v>
      </c>
      <c r="D27" s="182">
        <f t="shared" ref="D27:D28" si="6">B27*1000/C27</f>
        <v>15244.38194184856</v>
      </c>
      <c r="E27" s="182">
        <f>Energy!$J17</f>
        <v>1137.4679990429079</v>
      </c>
      <c r="F27" s="117">
        <f t="shared" si="5"/>
        <v>0.25</v>
      </c>
      <c r="G27" s="117">
        <f t="shared" si="5"/>
        <v>0.15</v>
      </c>
      <c r="H27" s="118">
        <v>125</v>
      </c>
      <c r="I27" s="207">
        <f>'Proforma C (1-2 min flow)'!H31</f>
        <v>3.7098941041972533E-2</v>
      </c>
      <c r="J27" s="182">
        <f>'Proforma C (1-2 min flow)'!K31</f>
        <v>-558.85630400780519</v>
      </c>
    </row>
    <row r="28" spans="1:11" s="55" customFormat="1" ht="15.95" customHeight="1">
      <c r="A28" s="342" t="s">
        <v>225</v>
      </c>
      <c r="B28" s="182">
        <f>'Proforma E (1-2 min flow)'!C10</f>
        <v>3519.011984739137</v>
      </c>
      <c r="C28" s="182">
        <f>Energy!$I$18</f>
        <v>208.65145985234972</v>
      </c>
      <c r="D28" s="182">
        <f t="shared" si="6"/>
        <v>16865.503779505463</v>
      </c>
      <c r="E28" s="182">
        <f>Energy!$J$18</f>
        <v>717.06780523544637</v>
      </c>
      <c r="F28" s="117">
        <f t="shared" si="5"/>
        <v>0.25</v>
      </c>
      <c r="G28" s="117">
        <f t="shared" si="5"/>
        <v>0.15</v>
      </c>
      <c r="H28" s="118">
        <v>125</v>
      </c>
      <c r="I28" s="207">
        <f>'Proforma E (1-2 min flow)'!H31</f>
        <v>1.6140382395467737E-2</v>
      </c>
      <c r="J28" s="182">
        <f>'Proforma E (1-2 min flow)'!K31</f>
        <v>-908.58097534913315</v>
      </c>
    </row>
    <row r="29" spans="1:11" s="55" customFormat="1" ht="15.95" customHeight="1">
      <c r="A29" s="59"/>
      <c r="B29"/>
      <c r="C29"/>
      <c r="D29"/>
      <c r="E29"/>
      <c r="F29"/>
      <c r="G29"/>
    </row>
    <row r="30" spans="1:11" s="55" customFormat="1" ht="15.95" customHeight="1">
      <c r="A30" s="368" t="s">
        <v>310</v>
      </c>
      <c r="B30" s="368"/>
      <c r="C30" s="368"/>
      <c r="D30" s="368"/>
      <c r="E30" s="368"/>
      <c r="F30" s="368"/>
      <c r="G30" s="368"/>
      <c r="H30" s="368"/>
      <c r="I30" s="368"/>
      <c r="J30" s="368"/>
    </row>
    <row r="31" spans="1:11" s="55" customFormat="1" ht="44.25" customHeight="1" thickBot="1">
      <c r="A31" s="124" t="s">
        <v>189</v>
      </c>
      <c r="B31" s="5" t="s">
        <v>193</v>
      </c>
      <c r="C31" s="5" t="s">
        <v>194</v>
      </c>
      <c r="D31" s="5" t="s">
        <v>207</v>
      </c>
      <c r="E31" s="5" t="s">
        <v>195</v>
      </c>
      <c r="F31" s="5" t="s">
        <v>190</v>
      </c>
      <c r="G31" s="5" t="s">
        <v>191</v>
      </c>
      <c r="H31" s="5" t="s">
        <v>192</v>
      </c>
      <c r="I31" s="5" t="s">
        <v>188</v>
      </c>
      <c r="J31" s="5" t="s">
        <v>205</v>
      </c>
    </row>
    <row r="32" spans="1:11" s="55" customFormat="1" ht="15.95" customHeight="1">
      <c r="A32" s="181" t="s">
        <v>166</v>
      </c>
      <c r="B32" s="182">
        <f>'Proforma B (no min flow)'!C$10</f>
        <v>5433.7793994897183</v>
      </c>
      <c r="C32" s="182">
        <f>Energy!I22</f>
        <v>287.69775007082876</v>
      </c>
      <c r="D32" s="182">
        <f>B32*1000/C32</f>
        <v>18887.111206646448</v>
      </c>
      <c r="E32" s="182">
        <f>Energy!J22</f>
        <v>1049.7937391622331</v>
      </c>
      <c r="F32" s="117">
        <f t="shared" ref="F32:G35" si="7">F$14</f>
        <v>0.25</v>
      </c>
      <c r="G32" s="117">
        <f t="shared" si="7"/>
        <v>0.15</v>
      </c>
      <c r="H32" s="118">
        <v>125</v>
      </c>
      <c r="I32" s="207">
        <f>'Proforma B (no min flow)'!H31</f>
        <v>9.4878333066436647E-3</v>
      </c>
      <c r="J32" s="182">
        <f>'Proforma B (no min flow)'!K$31</f>
        <v>-1596.6952922814862</v>
      </c>
    </row>
    <row r="33" spans="1:10" s="55" customFormat="1" ht="15.95" customHeight="1">
      <c r="A33" s="181" t="s">
        <v>167</v>
      </c>
      <c r="B33" s="182">
        <f>'Proforma C (no min flow)'!C$10</f>
        <v>5837.7521279668372</v>
      </c>
      <c r="C33" s="182">
        <f>Energy!I23</f>
        <v>533.66834555123194</v>
      </c>
      <c r="D33" s="182">
        <f t="shared" ref="D33:D35" si="8">B33*1000/C33</f>
        <v>10938.913983996856</v>
      </c>
      <c r="E33" s="182">
        <f>Energy!J23</f>
        <v>1888.9442033349824</v>
      </c>
      <c r="F33" s="117">
        <f t="shared" si="7"/>
        <v>0.25</v>
      </c>
      <c r="G33" s="117">
        <f t="shared" si="7"/>
        <v>0.15</v>
      </c>
      <c r="H33" s="118">
        <v>125</v>
      </c>
      <c r="I33" s="207">
        <f>'Proforma C (no min flow)'!H$31</f>
        <v>8.674462870248463E-2</v>
      </c>
      <c r="J33" s="182">
        <f>'Proforma C (no min flow)'!K$31</f>
        <v>2450.1719960947376</v>
      </c>
    </row>
    <row r="34" spans="1:10" s="55" customFormat="1" ht="15.95" customHeight="1">
      <c r="A34" s="181" t="s">
        <v>225</v>
      </c>
      <c r="B34" s="397">
        <f>'Proforma E (no min flow)'!C10</f>
        <v>4019.7894047860382</v>
      </c>
      <c r="C34" s="182">
        <f>Energy!I24</f>
        <v>340.7351597212907</v>
      </c>
      <c r="D34" s="182">
        <f t="shared" si="8"/>
        <v>11797.401266350334</v>
      </c>
      <c r="E34" s="182">
        <f>Energy!J24</f>
        <v>1184.4761706220279</v>
      </c>
      <c r="F34" s="117">
        <f t="shared" si="7"/>
        <v>0.25</v>
      </c>
      <c r="G34" s="117">
        <f t="shared" si="7"/>
        <v>0.15</v>
      </c>
      <c r="H34" s="118">
        <v>125</v>
      </c>
      <c r="I34" s="399">
        <f>'Proforma E (no min flow)'!H$31</f>
        <v>7.3026412273190261E-2</v>
      </c>
      <c r="J34" s="182">
        <f>'Proforma E (no min flow)'!K$31</f>
        <v>985.19307192371139</v>
      </c>
    </row>
    <row r="35" spans="1:10" s="55" customFormat="1" ht="15.95" customHeight="1">
      <c r="A35" s="398" t="s">
        <v>276</v>
      </c>
      <c r="B35" s="397">
        <f>'Proforma E-2 (no min flow)'!$C$10</f>
        <v>2994.3647999999994</v>
      </c>
      <c r="C35" s="182">
        <f>Energy!$I$25</f>
        <v>270.63395710237586</v>
      </c>
      <c r="D35" s="182">
        <f t="shared" si="8"/>
        <v>11064.261233365058</v>
      </c>
      <c r="E35" s="182">
        <f>Energy!$J$25</f>
        <v>814.63963109822623</v>
      </c>
      <c r="F35" s="117">
        <f t="shared" si="7"/>
        <v>0.25</v>
      </c>
      <c r="G35" s="117">
        <f t="shared" si="7"/>
        <v>0.15</v>
      </c>
      <c r="H35" s="118">
        <v>125</v>
      </c>
      <c r="I35" s="399">
        <f>'Proforma E-2 (no min flow)'!$H$31</f>
        <v>5.8068114170333501E-2</v>
      </c>
      <c r="J35" s="182">
        <f>'Proforma E-2 (no min flow)'!$K$31</f>
        <v>245.69623455471879</v>
      </c>
    </row>
    <row r="36" spans="1:10" s="55" customFormat="1" ht="15.95" customHeight="1">
      <c r="A36" s="59"/>
      <c r="B36"/>
      <c r="C36"/>
      <c r="D36"/>
      <c r="E36"/>
      <c r="F36"/>
      <c r="G36"/>
    </row>
    <row r="37" spans="1:10" s="55" customFormat="1" ht="15.95" customHeight="1">
      <c r="A37" s="127" t="s">
        <v>199</v>
      </c>
      <c r="B37" s="125"/>
      <c r="C37" s="125"/>
      <c r="D37" s="125"/>
      <c r="E37" s="125"/>
    </row>
    <row r="38" spans="1:10" s="55" customFormat="1" ht="10.5" customHeight="1">
      <c r="A38" s="125">
        <v>1</v>
      </c>
      <c r="B38" s="126" t="s">
        <v>200</v>
      </c>
      <c r="C38" s="125"/>
      <c r="D38" s="125"/>
      <c r="E38" s="125"/>
    </row>
    <row r="39" spans="1:10" s="55" customFormat="1" ht="10.5" customHeight="1">
      <c r="A39" s="125">
        <v>2</v>
      </c>
      <c r="B39" s="337" t="s">
        <v>392</v>
      </c>
      <c r="C39" s="125"/>
      <c r="D39" s="125"/>
      <c r="E39" s="125"/>
    </row>
    <row r="40" spans="1:10" s="55" customFormat="1" ht="10.5" customHeight="1">
      <c r="A40" s="125">
        <v>3</v>
      </c>
      <c r="B40" s="126" t="s">
        <v>201</v>
      </c>
      <c r="C40" s="125"/>
      <c r="D40" s="125"/>
      <c r="E40" s="125"/>
    </row>
    <row r="41" spans="1:10" s="55" customFormat="1" ht="10.5" customHeight="1">
      <c r="A41" s="125">
        <v>4</v>
      </c>
      <c r="B41" s="126" t="s">
        <v>202</v>
      </c>
      <c r="C41" s="125"/>
      <c r="D41" s="125"/>
      <c r="E41" s="125"/>
    </row>
    <row r="42" spans="1:10" s="55" customFormat="1" ht="10.5" customHeight="1">
      <c r="A42" s="125">
        <v>5</v>
      </c>
      <c r="B42" s="126" t="s">
        <v>204</v>
      </c>
      <c r="C42" s="125"/>
      <c r="D42" s="125"/>
      <c r="E42" s="125"/>
    </row>
    <row r="43" spans="1:10" s="55" customFormat="1" ht="10.5" customHeight="1">
      <c r="A43" s="125">
        <v>6</v>
      </c>
      <c r="B43" s="126" t="s">
        <v>203</v>
      </c>
      <c r="C43" s="125"/>
      <c r="D43" s="125"/>
      <c r="E43" s="125"/>
    </row>
    <row r="44" spans="1:10" s="55" customFormat="1" ht="10.5" customHeight="1">
      <c r="A44" s="125">
        <v>7</v>
      </c>
      <c r="B44" s="126" t="s">
        <v>206</v>
      </c>
      <c r="C44" s="125"/>
      <c r="D44" s="125"/>
      <c r="E44" s="125"/>
    </row>
    <row r="45" spans="1:10" s="55" customFormat="1" ht="15.95" customHeight="1">
      <c r="A45" s="59"/>
    </row>
    <row r="46" spans="1:10" s="55" customFormat="1" ht="15.95" customHeight="1">
      <c r="A46" s="59"/>
    </row>
    <row r="47" spans="1:10" s="55" customFormat="1" ht="15.95" customHeight="1">
      <c r="A47" s="59"/>
    </row>
    <row r="48" spans="1:10" s="55" customFormat="1" ht="15.95" customHeight="1">
      <c r="A48" s="59"/>
    </row>
    <row r="49" spans="1:5">
      <c r="A49" s="52"/>
      <c r="B49" s="52"/>
      <c r="C49" s="52"/>
      <c r="D49" s="52"/>
      <c r="E49" s="52"/>
    </row>
  </sheetData>
  <mergeCells count="5">
    <mergeCell ref="A8:J8"/>
    <mergeCell ref="A12:J12"/>
    <mergeCell ref="A24:J24"/>
    <mergeCell ref="A30:J30"/>
    <mergeCell ref="I9:J10"/>
  </mergeCells>
  <conditionalFormatting sqref="A1:XFD1048576">
    <cfRule type="containsErrors" dxfId="24" priority="2">
      <formula>ISERROR(A1)</formula>
    </cfRule>
  </conditionalFormatting>
  <printOptions horizontalCentered="1"/>
  <pageMargins left="0.75" right="0.75" top="1" bottom="1" header="0.5" footer="0.5"/>
  <pageSetup scale="86" orientation="portrait" r:id="rId1"/>
  <headerFooter alignWithMargins="0">
    <oddHeader>&amp;L&amp;"Arial,Bold Italic"&amp;11Privileged &amp; Confidential&amp;C&amp;"Arial,Bold Italic"&amp;11Ten Mile River Hydro Feasibility Study
Phase 1&amp;R&amp;"Arial,Bold Italic"&amp;11Proforma &amp;A</oddHeader>
    <oddFooter>&amp;L&amp;G&amp;C&amp;"Arial,Italic"For Planning Purposes Only&amp;R&amp;F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A2:Z25"/>
  <sheetViews>
    <sheetView view="pageBreakPreview" zoomScale="75" zoomScaleNormal="100" zoomScaleSheetLayoutView="75" workbookViewId="0">
      <selection activeCell="B34" sqref="B34"/>
    </sheetView>
  </sheetViews>
  <sheetFormatPr defaultRowHeight="12.75"/>
  <cols>
    <col min="1" max="1" width="5.28515625" customWidth="1"/>
    <col min="2" max="2" width="32.85546875" customWidth="1"/>
    <col min="3" max="3" width="12.7109375" hidden="1" customWidth="1"/>
    <col min="4" max="4" width="11.7109375" hidden="1" customWidth="1"/>
    <col min="5" max="5" width="10.7109375" hidden="1" customWidth="1"/>
    <col min="6" max="8" width="10.7109375" customWidth="1"/>
    <col min="10" max="10" width="10.7109375" customWidth="1"/>
    <col min="11" max="11" width="9.5703125" customWidth="1"/>
    <col min="12" max="13" width="8.140625" customWidth="1"/>
    <col min="14" max="14" width="14.28515625" customWidth="1"/>
    <col min="15" max="15" width="11.5703125" bestFit="1" customWidth="1"/>
    <col min="16" max="16" width="18.140625" customWidth="1"/>
  </cols>
  <sheetData>
    <row r="2" spans="1:26" ht="15">
      <c r="A2" s="371" t="s">
        <v>278</v>
      </c>
      <c r="B2" s="371"/>
      <c r="C2" s="371"/>
      <c r="D2" s="371"/>
      <c r="E2" s="371"/>
      <c r="F2" s="371"/>
      <c r="G2" s="371"/>
      <c r="H2" s="59"/>
    </row>
    <row r="3" spans="1:26" ht="60">
      <c r="A3" s="1" t="s">
        <v>223</v>
      </c>
      <c r="B3" s="132" t="s">
        <v>211</v>
      </c>
      <c r="C3" s="133" t="s">
        <v>212</v>
      </c>
      <c r="D3" s="133" t="s">
        <v>213</v>
      </c>
      <c r="E3" s="133" t="s">
        <v>214</v>
      </c>
      <c r="F3" s="133" t="s">
        <v>215</v>
      </c>
      <c r="G3" s="133" t="s">
        <v>282</v>
      </c>
      <c r="H3" s="133" t="s">
        <v>279</v>
      </c>
      <c r="I3" s="133" t="s">
        <v>280</v>
      </c>
      <c r="J3" s="133" t="s">
        <v>281</v>
      </c>
      <c r="K3" s="133" t="s">
        <v>277</v>
      </c>
      <c r="L3" s="133" t="s">
        <v>314</v>
      </c>
      <c r="M3" s="133" t="s">
        <v>357</v>
      </c>
      <c r="N3" s="133" t="s">
        <v>424</v>
      </c>
    </row>
    <row r="4" spans="1:26">
      <c r="A4" s="139" t="s">
        <v>165</v>
      </c>
      <c r="B4" t="s">
        <v>216</v>
      </c>
      <c r="C4" s="134">
        <f>5+D4</f>
        <v>52.55</v>
      </c>
      <c r="D4" s="134">
        <v>47.55</v>
      </c>
      <c r="E4" s="134">
        <f>C4-19.5</f>
        <v>33.049999999999997</v>
      </c>
      <c r="F4" s="59">
        <v>48</v>
      </c>
      <c r="G4" s="59">
        <v>14.5</v>
      </c>
      <c r="H4" s="232">
        <v>213</v>
      </c>
      <c r="I4" s="235">
        <v>204.50209102286885</v>
      </c>
      <c r="J4" s="235">
        <v>715.44874771642424</v>
      </c>
      <c r="K4" s="234">
        <v>0.39937113144405201</v>
      </c>
      <c r="L4" s="52">
        <v>1.25</v>
      </c>
      <c r="M4" s="237">
        <f>(4*H4/(8*PI()))^0.5</f>
        <v>5.8223708984033049</v>
      </c>
      <c r="N4" s="52" t="s">
        <v>315</v>
      </c>
    </row>
    <row r="5" spans="1:26">
      <c r="A5" s="139" t="s">
        <v>166</v>
      </c>
      <c r="B5" t="s">
        <v>220</v>
      </c>
      <c r="C5" s="59" t="s">
        <v>221</v>
      </c>
      <c r="D5" s="134">
        <f>D4</f>
        <v>47.55</v>
      </c>
      <c r="E5" s="134">
        <f>E8</f>
        <v>25.55</v>
      </c>
      <c r="F5" s="59">
        <v>48</v>
      </c>
      <c r="G5" s="59">
        <v>22</v>
      </c>
      <c r="H5" s="232">
        <v>114</v>
      </c>
      <c r="I5" s="235">
        <v>155.61405020188778</v>
      </c>
      <c r="J5" s="235">
        <v>455.68946351137379</v>
      </c>
      <c r="K5" s="234">
        <v>0.33428437266565764</v>
      </c>
      <c r="L5" s="237">
        <v>0.9</v>
      </c>
      <c r="M5" s="237">
        <f t="shared" ref="M5:M12" si="0">(4*H5/(8*PI()))^0.5</f>
        <v>4.2595379458899147</v>
      </c>
      <c r="N5" s="52" t="s">
        <v>315</v>
      </c>
    </row>
    <row r="6" spans="1:26">
      <c r="A6" s="139" t="s">
        <v>167</v>
      </c>
      <c r="B6" t="s">
        <v>222</v>
      </c>
      <c r="C6" s="59" t="s">
        <v>221</v>
      </c>
      <c r="D6" s="59">
        <v>47.6</v>
      </c>
      <c r="E6" s="134">
        <v>11</v>
      </c>
      <c r="F6" s="59">
        <v>48</v>
      </c>
      <c r="G6" s="59">
        <v>38</v>
      </c>
      <c r="H6" s="232">
        <v>114</v>
      </c>
      <c r="I6" s="232">
        <v>287.65021400955015</v>
      </c>
      <c r="J6" s="232">
        <v>830.8921511680087</v>
      </c>
      <c r="K6" s="234">
        <v>0.3297432004864761</v>
      </c>
      <c r="L6" s="237">
        <v>0.9</v>
      </c>
      <c r="M6" s="237">
        <f t="shared" si="0"/>
        <v>4.2595379458899147</v>
      </c>
      <c r="N6" s="52" t="s">
        <v>316</v>
      </c>
    </row>
    <row r="7" spans="1:26">
      <c r="A7" s="139" t="s">
        <v>275</v>
      </c>
      <c r="B7" s="138" t="s">
        <v>447</v>
      </c>
      <c r="C7" s="59"/>
      <c r="D7" s="59"/>
      <c r="E7" s="134"/>
      <c r="F7" s="59">
        <v>48</v>
      </c>
      <c r="G7" s="59">
        <v>38</v>
      </c>
      <c r="H7" s="232">
        <v>114</v>
      </c>
      <c r="I7" s="232">
        <v>282.25837790152985</v>
      </c>
      <c r="J7" s="232">
        <v>742.55881783248662</v>
      </c>
      <c r="K7" s="234">
        <v>0.30031699667251016</v>
      </c>
      <c r="L7" s="52">
        <v>0.92</v>
      </c>
      <c r="M7" s="237">
        <f t="shared" si="0"/>
        <v>4.2595379458899147</v>
      </c>
      <c r="N7" s="52" t="s">
        <v>317</v>
      </c>
    </row>
    <row r="8" spans="1:26">
      <c r="A8" s="139" t="s">
        <v>224</v>
      </c>
      <c r="B8" t="s">
        <v>217</v>
      </c>
      <c r="C8" s="134">
        <v>37.950000000000003</v>
      </c>
      <c r="D8" s="134">
        <v>33.950000000000003</v>
      </c>
      <c r="E8" s="134">
        <v>25.55</v>
      </c>
      <c r="F8" s="59">
        <v>53</v>
      </c>
      <c r="G8" s="59">
        <v>8.5</v>
      </c>
      <c r="H8" s="232">
        <v>213</v>
      </c>
      <c r="I8" s="235">
        <v>111.64708753140407</v>
      </c>
      <c r="J8" s="235">
        <v>400.03832920992807</v>
      </c>
      <c r="K8" s="234">
        <v>0.39937113144405201</v>
      </c>
      <c r="L8" s="52">
        <v>1.25</v>
      </c>
      <c r="M8" s="237">
        <f t="shared" si="0"/>
        <v>5.8223708984033049</v>
      </c>
      <c r="N8" s="52" t="s">
        <v>315</v>
      </c>
    </row>
    <row r="9" spans="1:26">
      <c r="A9" s="139" t="s">
        <v>225</v>
      </c>
      <c r="B9" t="s">
        <v>218</v>
      </c>
      <c r="C9" s="134">
        <v>38</v>
      </c>
      <c r="D9" s="134">
        <v>34</v>
      </c>
      <c r="E9" s="134">
        <v>7.8</v>
      </c>
      <c r="F9" s="59">
        <v>53</v>
      </c>
      <c r="G9" s="59">
        <v>23.5</v>
      </c>
      <c r="H9" s="232">
        <v>114</v>
      </c>
      <c r="I9" s="235">
        <v>184.08434802291492</v>
      </c>
      <c r="J9" s="235">
        <v>524.1768172904118</v>
      </c>
      <c r="K9" s="234">
        <v>0.32505499170911606</v>
      </c>
      <c r="L9" s="237">
        <v>0.9</v>
      </c>
      <c r="M9" s="237">
        <f t="shared" si="0"/>
        <v>4.2595379458899147</v>
      </c>
      <c r="N9" s="52" t="s">
        <v>315</v>
      </c>
    </row>
    <row r="10" spans="1:26">
      <c r="A10" s="139" t="s">
        <v>276</v>
      </c>
      <c r="B10" s="138" t="s">
        <v>448</v>
      </c>
      <c r="C10" s="134"/>
      <c r="D10" s="134"/>
      <c r="E10" s="134"/>
      <c r="F10" s="59">
        <v>53</v>
      </c>
      <c r="G10" s="59">
        <v>23.5</v>
      </c>
      <c r="H10" s="232">
        <v>114</v>
      </c>
      <c r="I10" s="232">
        <v>178.04906116573295</v>
      </c>
      <c r="J10" s="232">
        <v>463.92858391587879</v>
      </c>
      <c r="K10" s="234">
        <v>0.29744545498819253</v>
      </c>
      <c r="L10" s="237">
        <v>0.9</v>
      </c>
      <c r="M10" s="237">
        <f t="shared" si="0"/>
        <v>4.2595379458899147</v>
      </c>
      <c r="N10" s="52" t="s">
        <v>317</v>
      </c>
    </row>
    <row r="11" spans="1:26">
      <c r="A11" s="139" t="s">
        <v>299</v>
      </c>
      <c r="B11" s="138" t="s">
        <v>300</v>
      </c>
      <c r="C11" s="134"/>
      <c r="D11" s="134"/>
      <c r="E11" s="134"/>
      <c r="F11" s="59">
        <v>53</v>
      </c>
      <c r="G11" s="59">
        <v>23.5</v>
      </c>
      <c r="H11" s="232">
        <v>84</v>
      </c>
      <c r="I11" s="235">
        <v>110.0337152195701</v>
      </c>
      <c r="J11" s="235">
        <v>334.83961767713572</v>
      </c>
      <c r="K11" s="234">
        <v>0.34738171452086497</v>
      </c>
      <c r="L11" s="237">
        <v>0.81299999999999994</v>
      </c>
      <c r="M11" s="237">
        <f t="shared" si="0"/>
        <v>3.6563663957157262</v>
      </c>
      <c r="N11" s="52" t="s">
        <v>317</v>
      </c>
    </row>
    <row r="12" spans="1:26">
      <c r="A12" s="139" t="s">
        <v>226</v>
      </c>
      <c r="B12" s="135" t="s">
        <v>219</v>
      </c>
      <c r="C12" s="136">
        <v>14.8</v>
      </c>
      <c r="D12" s="136">
        <f>C12-4.75</f>
        <v>10.050000000000001</v>
      </c>
      <c r="E12" s="136">
        <f>14.8-12.9</f>
        <v>1.9000000000000004</v>
      </c>
      <c r="F12" s="137">
        <v>56</v>
      </c>
      <c r="G12" s="59">
        <v>8</v>
      </c>
      <c r="H12" s="232">
        <v>213</v>
      </c>
      <c r="I12" s="235">
        <v>103.90917057378202</v>
      </c>
      <c r="J12" s="235">
        <v>373.75412766772007</v>
      </c>
      <c r="K12" s="234">
        <v>0.39937113144405201</v>
      </c>
      <c r="L12" s="52">
        <v>1.25</v>
      </c>
      <c r="M12" s="237">
        <f t="shared" si="0"/>
        <v>5.8223708984033049</v>
      </c>
      <c r="N12" s="52" t="s">
        <v>315</v>
      </c>
    </row>
    <row r="13" spans="1:26">
      <c r="L13" s="52"/>
      <c r="M13" s="52"/>
      <c r="N13" s="52"/>
    </row>
    <row r="14" spans="1:26" ht="15">
      <c r="A14" s="372" t="s">
        <v>283</v>
      </c>
      <c r="B14" s="372"/>
      <c r="C14" s="372"/>
      <c r="D14" s="372"/>
      <c r="E14" s="372"/>
      <c r="F14" s="372"/>
      <c r="G14" s="372"/>
      <c r="L14" s="52"/>
      <c r="M14" s="52"/>
      <c r="N14" s="52"/>
    </row>
    <row r="15" spans="1:26" ht="60">
      <c r="A15" s="1" t="s">
        <v>223</v>
      </c>
      <c r="B15" s="132" t="s">
        <v>211</v>
      </c>
      <c r="C15" s="133" t="s">
        <v>212</v>
      </c>
      <c r="D15" s="133" t="s">
        <v>213</v>
      </c>
      <c r="E15" s="133" t="s">
        <v>214</v>
      </c>
      <c r="F15" s="133" t="s">
        <v>215</v>
      </c>
      <c r="G15" s="133" t="s">
        <v>282</v>
      </c>
      <c r="H15" s="133" t="s">
        <v>279</v>
      </c>
      <c r="I15" s="133" t="s">
        <v>280</v>
      </c>
      <c r="J15" s="133" t="s">
        <v>281</v>
      </c>
      <c r="K15" s="133" t="s">
        <v>277</v>
      </c>
      <c r="L15" s="133" t="s">
        <v>314</v>
      </c>
      <c r="M15" s="133" t="s">
        <v>357</v>
      </c>
      <c r="N15" s="133" t="s">
        <v>424</v>
      </c>
      <c r="W15" t="s">
        <v>441</v>
      </c>
      <c r="X15" t="s">
        <v>442</v>
      </c>
      <c r="Z15" t="s">
        <v>443</v>
      </c>
    </row>
    <row r="16" spans="1:26">
      <c r="A16" s="139" t="s">
        <v>166</v>
      </c>
      <c r="B16" t="s">
        <v>220</v>
      </c>
      <c r="C16" s="59" t="s">
        <v>221</v>
      </c>
      <c r="D16" s="134" t="e">
        <f>#REF!</f>
        <v>#REF!</v>
      </c>
      <c r="E16" s="134" t="e">
        <f>#REF!</f>
        <v>#REF!</v>
      </c>
      <c r="F16" s="59">
        <v>48</v>
      </c>
      <c r="G16" s="59">
        <v>22</v>
      </c>
      <c r="H16" s="232">
        <v>130</v>
      </c>
      <c r="I16" s="235">
        <v>176.27797603973011</v>
      </c>
      <c r="J16" s="235">
        <v>625.95687117663044</v>
      </c>
      <c r="K16" s="234">
        <v>0.40536126768804992</v>
      </c>
      <c r="L16" s="52">
        <v>0.95</v>
      </c>
      <c r="M16" s="237">
        <f t="shared" ref="M16:M18" si="1">(4*H16/(8*PI()))^0.5</f>
        <v>4.5486418414672301</v>
      </c>
      <c r="N16" s="52" t="s">
        <v>315</v>
      </c>
      <c r="W16">
        <v>114</v>
      </c>
      <c r="X16">
        <v>0.9</v>
      </c>
      <c r="Z16">
        <v>4.26</v>
      </c>
    </row>
    <row r="17" spans="1:26">
      <c r="A17" s="139" t="s">
        <v>167</v>
      </c>
      <c r="B17" t="s">
        <v>222</v>
      </c>
      <c r="C17" s="59" t="s">
        <v>221</v>
      </c>
      <c r="D17" s="59">
        <v>47.6</v>
      </c>
      <c r="E17" s="134">
        <v>11</v>
      </c>
      <c r="F17" s="59">
        <v>48</v>
      </c>
      <c r="G17" s="59">
        <v>38</v>
      </c>
      <c r="H17" s="232">
        <v>130</v>
      </c>
      <c r="I17" s="235">
        <v>326.41587198231383</v>
      </c>
      <c r="J17" s="235">
        <v>1137.4679990429079</v>
      </c>
      <c r="K17" s="234">
        <v>0.39779911530545276</v>
      </c>
      <c r="L17" s="52">
        <v>0.95</v>
      </c>
      <c r="M17" s="237">
        <f t="shared" si="1"/>
        <v>4.5486418414672301</v>
      </c>
      <c r="N17" s="52" t="s">
        <v>316</v>
      </c>
      <c r="O17" s="210"/>
      <c r="P17" s="211"/>
      <c r="Q17" s="210"/>
      <c r="R17" s="210"/>
      <c r="S17" s="212"/>
      <c r="T17" s="210"/>
      <c r="U17" s="210"/>
      <c r="V17" s="213"/>
      <c r="W17">
        <v>130</v>
      </c>
      <c r="X17">
        <v>0.95</v>
      </c>
      <c r="Z17">
        <v>4.55</v>
      </c>
    </row>
    <row r="18" spans="1:26">
      <c r="A18" s="139" t="s">
        <v>225</v>
      </c>
      <c r="B18" t="s">
        <v>218</v>
      </c>
      <c r="C18" s="134">
        <v>38</v>
      </c>
      <c r="D18" s="134">
        <v>34</v>
      </c>
      <c r="E18" s="134">
        <v>7.8</v>
      </c>
      <c r="F18" s="59">
        <v>53</v>
      </c>
      <c r="G18" s="59">
        <v>23.5</v>
      </c>
      <c r="H18" s="232">
        <v>130</v>
      </c>
      <c r="I18" s="235">
        <v>208.65145985234972</v>
      </c>
      <c r="J18" s="235">
        <v>717.06780523544637</v>
      </c>
      <c r="K18" s="234">
        <v>0.39231479832491772</v>
      </c>
      <c r="L18" s="52">
        <v>0.95</v>
      </c>
      <c r="M18" s="237">
        <f t="shared" si="1"/>
        <v>4.5486418414672301</v>
      </c>
      <c r="N18" s="52" t="s">
        <v>315</v>
      </c>
      <c r="O18" s="210"/>
      <c r="P18" s="211"/>
      <c r="Q18" s="210"/>
      <c r="R18" s="210"/>
      <c r="S18" s="212"/>
      <c r="T18" s="210"/>
      <c r="U18" s="210"/>
      <c r="V18" s="213"/>
      <c r="W18" s="395">
        <v>174</v>
      </c>
      <c r="X18" s="396">
        <f>(0.0036*174)+0.4908</f>
        <v>1.1172</v>
      </c>
      <c r="Y18" s="396"/>
      <c r="Z18" s="396">
        <f>(0.0156*174)+2.4991</f>
        <v>5.2134999999999998</v>
      </c>
    </row>
    <row r="19" spans="1:26">
      <c r="L19" s="52"/>
      <c r="M19" s="52"/>
      <c r="N19" s="52"/>
      <c r="O19" s="210"/>
      <c r="P19" s="211"/>
      <c r="Q19" s="210"/>
      <c r="R19" s="210"/>
      <c r="S19" s="212"/>
      <c r="T19" s="210"/>
      <c r="U19" s="210"/>
      <c r="V19" s="213"/>
      <c r="W19">
        <v>213</v>
      </c>
      <c r="X19">
        <v>1.25</v>
      </c>
      <c r="Z19">
        <v>5.82</v>
      </c>
    </row>
    <row r="20" spans="1:26" ht="15" customHeight="1">
      <c r="A20" s="373" t="s">
        <v>284</v>
      </c>
      <c r="B20" s="373"/>
      <c r="C20" s="373"/>
      <c r="D20" s="373"/>
      <c r="E20" s="373"/>
      <c r="F20" s="373"/>
      <c r="G20" s="373"/>
      <c r="L20" s="52"/>
      <c r="M20" s="52"/>
      <c r="N20" s="52"/>
      <c r="O20" s="210"/>
      <c r="P20" s="211"/>
      <c r="Q20" s="210"/>
      <c r="R20" s="210"/>
      <c r="S20" s="212"/>
      <c r="T20" s="210"/>
      <c r="U20" s="210"/>
      <c r="V20" s="213"/>
    </row>
    <row r="21" spans="1:26" ht="60">
      <c r="A21" s="1" t="s">
        <v>223</v>
      </c>
      <c r="B21" s="132" t="s">
        <v>211</v>
      </c>
      <c r="C21" s="133" t="s">
        <v>212</v>
      </c>
      <c r="D21" s="133" t="s">
        <v>213</v>
      </c>
      <c r="E21" s="133" t="s">
        <v>214</v>
      </c>
      <c r="F21" s="133" t="s">
        <v>215</v>
      </c>
      <c r="G21" s="133" t="s">
        <v>282</v>
      </c>
      <c r="H21" s="133" t="s">
        <v>279</v>
      </c>
      <c r="I21" s="133" t="s">
        <v>280</v>
      </c>
      <c r="J21" s="133" t="s">
        <v>281</v>
      </c>
      <c r="K21" s="133" t="s">
        <v>277</v>
      </c>
      <c r="L21" s="133" t="s">
        <v>314</v>
      </c>
      <c r="M21" s="133" t="s">
        <v>357</v>
      </c>
      <c r="N21" s="133" t="s">
        <v>424</v>
      </c>
      <c r="O21" s="210"/>
      <c r="P21" s="211"/>
      <c r="Q21" s="210"/>
      <c r="R21" s="210"/>
      <c r="S21" s="212"/>
      <c r="T21" s="210"/>
      <c r="U21" s="210"/>
      <c r="V21" s="213"/>
    </row>
    <row r="22" spans="1:26">
      <c r="A22" s="139" t="s">
        <v>166</v>
      </c>
      <c r="B22" t="s">
        <v>220</v>
      </c>
      <c r="C22" s="59" t="s">
        <v>221</v>
      </c>
      <c r="D22" s="134" t="e">
        <f>#REF!</f>
        <v>#REF!</v>
      </c>
      <c r="E22" s="134" t="e">
        <f>#REF!</f>
        <v>#REF!</v>
      </c>
      <c r="F22" s="59">
        <v>48</v>
      </c>
      <c r="G22" s="59">
        <v>22</v>
      </c>
      <c r="H22" s="233">
        <v>213</v>
      </c>
      <c r="I22" s="235">
        <v>287.69775007082876</v>
      </c>
      <c r="J22" s="235">
        <v>1049.7937391622331</v>
      </c>
      <c r="K22" s="234">
        <v>0.41654642037134709</v>
      </c>
      <c r="L22" s="52">
        <v>1.25</v>
      </c>
      <c r="M22" s="237">
        <f t="shared" ref="M22:M24" si="2">(4*H22/(8*PI()))^0.5</f>
        <v>5.8223708984033049</v>
      </c>
      <c r="N22" s="52" t="s">
        <v>315</v>
      </c>
      <c r="O22" s="210"/>
      <c r="P22" s="211"/>
      <c r="Q22" s="210"/>
      <c r="R22" s="210"/>
      <c r="S22" s="212"/>
      <c r="T22" s="210"/>
      <c r="U22" s="210"/>
      <c r="V22" s="213"/>
    </row>
    <row r="23" spans="1:26">
      <c r="A23" s="139" t="s">
        <v>167</v>
      </c>
      <c r="B23" t="s">
        <v>222</v>
      </c>
      <c r="C23" s="59" t="s">
        <v>221</v>
      </c>
      <c r="D23" s="59">
        <v>47.6</v>
      </c>
      <c r="E23" s="134">
        <v>11</v>
      </c>
      <c r="F23" s="59">
        <v>48</v>
      </c>
      <c r="G23" s="59">
        <v>38</v>
      </c>
      <c r="H23" s="233">
        <v>213</v>
      </c>
      <c r="I23" s="235">
        <v>533.66834555123194</v>
      </c>
      <c r="J23" s="235">
        <v>1888.9442033349824</v>
      </c>
      <c r="K23" s="234">
        <v>0.4040578792458735</v>
      </c>
      <c r="L23" s="52">
        <v>1.25</v>
      </c>
      <c r="M23" s="237">
        <f t="shared" si="2"/>
        <v>5.8223708984033049</v>
      </c>
      <c r="N23" s="52" t="s">
        <v>316</v>
      </c>
      <c r="O23" s="210"/>
      <c r="P23" s="211"/>
      <c r="Q23" s="210"/>
      <c r="R23" s="210"/>
      <c r="S23" s="212"/>
      <c r="T23" s="210"/>
      <c r="U23" s="210"/>
      <c r="V23" s="213"/>
    </row>
    <row r="24" spans="1:26">
      <c r="A24" s="139" t="s">
        <v>225</v>
      </c>
      <c r="B24" t="s">
        <v>218</v>
      </c>
      <c r="C24" s="134">
        <v>38</v>
      </c>
      <c r="D24" s="134">
        <v>34</v>
      </c>
      <c r="E24" s="134">
        <v>7.8</v>
      </c>
      <c r="F24" s="59">
        <v>53</v>
      </c>
      <c r="G24" s="59">
        <v>23.5</v>
      </c>
      <c r="H24" s="233">
        <v>213</v>
      </c>
      <c r="I24" s="235">
        <v>340.7351597212907</v>
      </c>
      <c r="J24" s="235">
        <v>1184.4761706220279</v>
      </c>
      <c r="K24" s="234">
        <v>0.39683070816390775</v>
      </c>
      <c r="L24" s="52">
        <v>1.25</v>
      </c>
      <c r="M24" s="237">
        <f t="shared" si="2"/>
        <v>5.8223708984033049</v>
      </c>
      <c r="N24" s="52" t="s">
        <v>315</v>
      </c>
      <c r="O24" s="210"/>
      <c r="P24" s="211"/>
      <c r="Q24" s="210"/>
      <c r="R24" s="210"/>
      <c r="S24" s="212"/>
      <c r="T24" s="210"/>
      <c r="U24" s="210"/>
      <c r="V24" s="213"/>
    </row>
    <row r="25" spans="1:26">
      <c r="A25" s="233" t="s">
        <v>276</v>
      </c>
      <c r="B25" s="392" t="s">
        <v>449</v>
      </c>
      <c r="F25" s="233">
        <v>53</v>
      </c>
      <c r="G25" s="233">
        <v>23.5</v>
      </c>
      <c r="H25" s="233">
        <v>174</v>
      </c>
      <c r="I25" s="393">
        <f>'[11]Energy E Repowered Francis No'!$AI$25</f>
        <v>270.63395710237586</v>
      </c>
      <c r="J25" s="393">
        <f>'[11]Energy E Repowered Francis No'!U22</f>
        <v>814.63963109822623</v>
      </c>
      <c r="K25" s="394">
        <f>'[11]Energy E Repowered Francis No'!$AG$25</f>
        <v>0.38295844228362513</v>
      </c>
      <c r="L25" s="52">
        <v>1.1200000000000001</v>
      </c>
      <c r="M25" s="52">
        <v>5.21</v>
      </c>
      <c r="N25" s="52" t="s">
        <v>317</v>
      </c>
      <c r="O25" s="210"/>
      <c r="P25" s="211"/>
      <c r="Q25" s="210"/>
      <c r="R25" s="210"/>
      <c r="S25" s="212"/>
      <c r="T25" s="210"/>
      <c r="U25" s="210"/>
      <c r="V25" s="213"/>
    </row>
  </sheetData>
  <mergeCells count="3">
    <mergeCell ref="A2:G2"/>
    <mergeCell ref="A14:G14"/>
    <mergeCell ref="A20:G20"/>
  </mergeCells>
  <phoneticPr fontId="5" type="noConversion"/>
  <pageMargins left="0.75" right="0.75" top="1" bottom="1" header="0.5" footer="0.5"/>
  <pageSetup scale="94" orientation="landscape" r:id="rId1"/>
  <headerFooter alignWithMargins="0">
    <oddHeader>&amp;L&amp;"Arial,Bold Italic"Privileged and Confidential&amp;C&amp;"Arial,Bold Italic"Ten Mile River Hydro
Phase I Feasibility Study&amp;"Arial,Bold"&amp;11
&amp;R&amp;"Arial,Bold Italic"&amp;A</oddHeader>
    <oddFooter>&amp;L&amp;G&amp;CFor Planning Purposes Only&amp;R&amp;F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/>
    <pageSetUpPr fitToPage="1"/>
  </sheetPr>
  <dimension ref="A1:AD41"/>
  <sheetViews>
    <sheetView view="pageBreakPreview" zoomScale="70" zoomScaleNormal="100" zoomScaleSheetLayoutView="70" workbookViewId="0">
      <selection activeCell="H11" sqref="H11"/>
    </sheetView>
  </sheetViews>
  <sheetFormatPr defaultRowHeight="12.75"/>
  <cols>
    <col min="1" max="1" width="4.5703125" customWidth="1"/>
    <col min="2" max="2" width="33.140625" customWidth="1"/>
    <col min="3" max="3" width="9.28515625" bestFit="1" customWidth="1"/>
    <col min="4" max="4" width="9.42578125" bestFit="1" customWidth="1"/>
    <col min="5" max="6" width="9.28515625" bestFit="1" customWidth="1"/>
    <col min="7" max="7" width="13.5703125" bestFit="1" customWidth="1"/>
    <col min="8" max="8" width="9.85546875" bestFit="1" customWidth="1"/>
    <col min="9" max="9" width="9.28515625" bestFit="1" customWidth="1"/>
    <col min="10" max="10" width="12.28515625" customWidth="1"/>
    <col min="11" max="11" width="12.42578125" customWidth="1"/>
    <col min="12" max="23" width="9.28515625" bestFit="1" customWidth="1"/>
    <col min="24" max="24" width="25.28515625" style="112" customWidth="1"/>
  </cols>
  <sheetData>
    <row r="1" spans="1:30" ht="26.25" thickBot="1">
      <c r="A1" s="228" t="s">
        <v>0</v>
      </c>
      <c r="B1" s="229" t="s">
        <v>92</v>
      </c>
      <c r="C1" s="229">
        <v>0</v>
      </c>
      <c r="D1" s="229">
        <v>1</v>
      </c>
      <c r="E1" s="229">
        <v>2</v>
      </c>
      <c r="F1" s="229">
        <v>3</v>
      </c>
      <c r="G1" s="229">
        <v>4</v>
      </c>
      <c r="H1" s="229">
        <v>5</v>
      </c>
      <c r="I1" s="229">
        <v>6</v>
      </c>
      <c r="J1" s="229">
        <v>7</v>
      </c>
      <c r="K1" s="229">
        <v>8</v>
      </c>
      <c r="L1" s="229">
        <v>9</v>
      </c>
      <c r="M1" s="229">
        <v>10</v>
      </c>
      <c r="N1" s="229">
        <v>11</v>
      </c>
      <c r="O1" s="229">
        <v>12</v>
      </c>
      <c r="P1" s="229">
        <v>13</v>
      </c>
      <c r="Q1" s="229">
        <v>14</v>
      </c>
      <c r="R1" s="229">
        <v>15</v>
      </c>
      <c r="S1" s="229">
        <v>16</v>
      </c>
      <c r="T1" s="229">
        <v>17</v>
      </c>
      <c r="U1" s="229">
        <v>18</v>
      </c>
      <c r="V1" s="229">
        <v>19</v>
      </c>
      <c r="W1" s="230">
        <v>20</v>
      </c>
      <c r="X1" s="120" t="s">
        <v>199</v>
      </c>
      <c r="AA1" s="1"/>
      <c r="AB1" s="1"/>
      <c r="AC1" s="1"/>
      <c r="AD1" s="1"/>
    </row>
    <row r="2" spans="1:30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6"/>
      <c r="X2" s="129"/>
    </row>
    <row r="3" spans="1:30">
      <c r="A3" s="77">
        <v>1</v>
      </c>
      <c r="B3" s="78" t="s">
        <v>110</v>
      </c>
      <c r="C3" s="216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129"/>
    </row>
    <row r="4" spans="1:30">
      <c r="A4" s="79" t="s">
        <v>8</v>
      </c>
      <c r="B4" s="225" t="s">
        <v>93</v>
      </c>
      <c r="C4" s="227">
        <f>'Costs A'!F137</f>
        <v>3326.1606763089185</v>
      </c>
      <c r="D4" s="226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130"/>
    </row>
    <row r="5" spans="1:30">
      <c r="A5" s="79" t="s">
        <v>11</v>
      </c>
      <c r="B5" s="80" t="s">
        <v>94</v>
      </c>
      <c r="C5" s="197"/>
      <c r="D5" s="81">
        <f t="shared" ref="D5:W5" si="0">mwh*(0.015)*(1+esc)^(D$1-$C$1)</f>
        <v>11.000024496140021</v>
      </c>
      <c r="E5" s="81">
        <f t="shared" si="0"/>
        <v>11.275025108543522</v>
      </c>
      <c r="F5" s="81">
        <f t="shared" si="0"/>
        <v>11.556900736257109</v>
      </c>
      <c r="G5" s="81">
        <f t="shared" si="0"/>
        <v>11.845823254663536</v>
      </c>
      <c r="H5" s="81">
        <f t="shared" si="0"/>
        <v>12.141968836030124</v>
      </c>
      <c r="I5" s="81">
        <f t="shared" si="0"/>
        <v>12.445518056930876</v>
      </c>
      <c r="J5" s="81">
        <f t="shared" si="0"/>
        <v>12.756656008354147</v>
      </c>
      <c r="K5" s="81">
        <f t="shared" si="0"/>
        <v>13.075572408563</v>
      </c>
      <c r="L5" s="81">
        <f t="shared" si="0"/>
        <v>13.402461718777072</v>
      </c>
      <c r="M5" s="81">
        <f t="shared" si="0"/>
        <v>13.7375232617465</v>
      </c>
      <c r="N5" s="81">
        <f t="shared" si="0"/>
        <v>14.080961343290163</v>
      </c>
      <c r="O5" s="81">
        <f t="shared" si="0"/>
        <v>14.432985376872415</v>
      </c>
      <c r="P5" s="81">
        <f t="shared" si="0"/>
        <v>14.793810011294225</v>
      </c>
      <c r="Q5" s="81">
        <f t="shared" si="0"/>
        <v>15.163655261576579</v>
      </c>
      <c r="R5" s="81">
        <f t="shared" si="0"/>
        <v>15.542746643115995</v>
      </c>
      <c r="S5" s="81">
        <f t="shared" si="0"/>
        <v>15.931315309193895</v>
      </c>
      <c r="T5" s="81">
        <f t="shared" si="0"/>
        <v>16.32959819192374</v>
      </c>
      <c r="U5" s="81">
        <f t="shared" si="0"/>
        <v>16.737838146721835</v>
      </c>
      <c r="V5" s="81">
        <f t="shared" si="0"/>
        <v>17.156284100389879</v>
      </c>
      <c r="W5" s="81">
        <f t="shared" si="0"/>
        <v>17.585191202899622</v>
      </c>
      <c r="X5" s="130"/>
    </row>
    <row r="6" spans="1:30">
      <c r="A6" s="79" t="s">
        <v>13</v>
      </c>
      <c r="B6" s="80" t="s">
        <v>95</v>
      </c>
      <c r="C6" s="81"/>
      <c r="D6" s="81"/>
      <c r="E6" s="81"/>
      <c r="F6" s="81"/>
      <c r="G6" s="81"/>
      <c r="H6" s="81">
        <f>50*(1+esc)^(H1-$C1)</f>
        <v>56.570410644531236</v>
      </c>
      <c r="I6" s="81"/>
      <c r="J6" s="81"/>
      <c r="K6" s="81"/>
      <c r="L6" s="81"/>
      <c r="M6" s="81">
        <f>100*(1+esc)^(M1-$C1)</f>
        <v>128.00845441963571</v>
      </c>
      <c r="N6" s="81"/>
      <c r="O6" s="81"/>
      <c r="P6" s="81"/>
      <c r="Q6" s="81"/>
      <c r="R6" s="81">
        <f>50*(1+esc)^(R1-$C1)</f>
        <v>72.414908324905525</v>
      </c>
      <c r="S6" s="81"/>
      <c r="T6" s="81"/>
      <c r="U6" s="81"/>
      <c r="V6" s="81"/>
      <c r="W6" s="82">
        <f>100*(1+esc)^(W1-$C1)</f>
        <v>163.86164402903955</v>
      </c>
      <c r="X6" s="130"/>
    </row>
    <row r="7" spans="1:30">
      <c r="A7" s="79" t="s">
        <v>16</v>
      </c>
      <c r="B7" s="332" t="s">
        <v>368</v>
      </c>
      <c r="C7" s="81"/>
      <c r="D7" s="81">
        <f t="shared" ref="D7:W7" si="1">(0.0025*$C$4*(1+esc)^(D$1-$C$1))</f>
        <v>8.5232867330416031</v>
      </c>
      <c r="E7" s="81">
        <f t="shared" si="1"/>
        <v>8.7363689013676424</v>
      </c>
      <c r="F7" s="81">
        <f t="shared" si="1"/>
        <v>8.9547781239018338</v>
      </c>
      <c r="G7" s="81">
        <f t="shared" si="1"/>
        <v>9.1786475769993778</v>
      </c>
      <c r="H7" s="81">
        <f t="shared" si="1"/>
        <v>9.4081137664243624</v>
      </c>
      <c r="I7" s="81">
        <f t="shared" si="1"/>
        <v>9.6433166105849697</v>
      </c>
      <c r="J7" s="81">
        <f t="shared" si="1"/>
        <v>9.8843995258495951</v>
      </c>
      <c r="K7" s="81">
        <f t="shared" si="1"/>
        <v>10.131509513995834</v>
      </c>
      <c r="L7" s="81">
        <f t="shared" si="1"/>
        <v>10.384797251845727</v>
      </c>
      <c r="M7" s="81">
        <f t="shared" si="1"/>
        <v>10.644417183141872</v>
      </c>
      <c r="N7" s="81">
        <f t="shared" si="1"/>
        <v>10.910527612720418</v>
      </c>
      <c r="O7" s="81">
        <f t="shared" si="1"/>
        <v>11.183290803038428</v>
      </c>
      <c r="P7" s="81">
        <f t="shared" si="1"/>
        <v>11.462873073114388</v>
      </c>
      <c r="Q7" s="81">
        <f t="shared" si="1"/>
        <v>11.749444899942246</v>
      </c>
      <c r="R7" s="81">
        <f t="shared" si="1"/>
        <v>12.043181022440804</v>
      </c>
      <c r="S7" s="81">
        <f t="shared" si="1"/>
        <v>12.344260548001824</v>
      </c>
      <c r="T7" s="81">
        <f t="shared" si="1"/>
        <v>12.652867061701867</v>
      </c>
      <c r="U7" s="81">
        <f t="shared" si="1"/>
        <v>12.969188738244414</v>
      </c>
      <c r="V7" s="81">
        <f t="shared" si="1"/>
        <v>13.293418456700525</v>
      </c>
      <c r="W7" s="81">
        <f t="shared" si="1"/>
        <v>13.625753918118036</v>
      </c>
      <c r="X7" s="130"/>
    </row>
    <row r="8" spans="1:30">
      <c r="A8" s="79" t="s">
        <v>19</v>
      </c>
      <c r="B8" s="332" t="s">
        <v>381</v>
      </c>
      <c r="C8" s="81"/>
      <c r="D8" s="81">
        <f t="shared" ref="D8:W8" si="2">(0.015*$C$4*(1+esc)^(D$1-$C$1))</f>
        <v>51.139720398249622</v>
      </c>
      <c r="E8" s="81">
        <f t="shared" si="2"/>
        <v>52.418213408205858</v>
      </c>
      <c r="F8" s="81">
        <f t="shared" si="2"/>
        <v>53.728668743411006</v>
      </c>
      <c r="G8" s="81">
        <f t="shared" si="2"/>
        <v>55.071885461996274</v>
      </c>
      <c r="H8" s="81">
        <f t="shared" si="2"/>
        <v>56.448682598546178</v>
      </c>
      <c r="I8" s="81">
        <f t="shared" si="2"/>
        <v>57.859899663509829</v>
      </c>
      <c r="J8" s="81">
        <f t="shared" si="2"/>
        <v>59.306397155097571</v>
      </c>
      <c r="K8" s="81">
        <f t="shared" si="2"/>
        <v>60.78905708397501</v>
      </c>
      <c r="L8" s="81">
        <f t="shared" si="2"/>
        <v>62.308783511074374</v>
      </c>
      <c r="M8" s="81">
        <f t="shared" si="2"/>
        <v>63.866503098851233</v>
      </c>
      <c r="N8" s="81">
        <f t="shared" si="2"/>
        <v>65.463165676322518</v>
      </c>
      <c r="O8" s="81">
        <f t="shared" si="2"/>
        <v>67.099744818230576</v>
      </c>
      <c r="P8" s="81">
        <f t="shared" si="2"/>
        <v>68.777238438686325</v>
      </c>
      <c r="Q8" s="81">
        <f t="shared" si="2"/>
        <v>70.496669399653484</v>
      </c>
      <c r="R8" s="81">
        <f t="shared" si="2"/>
        <v>72.259086134644832</v>
      </c>
      <c r="S8" s="81">
        <f t="shared" si="2"/>
        <v>74.065563288010949</v>
      </c>
      <c r="T8" s="81">
        <f t="shared" si="2"/>
        <v>75.9172023702112</v>
      </c>
      <c r="U8" s="81">
        <f t="shared" si="2"/>
        <v>77.815132429466487</v>
      </c>
      <c r="V8" s="81">
        <f t="shared" si="2"/>
        <v>79.760510740203159</v>
      </c>
      <c r="W8" s="81">
        <f t="shared" si="2"/>
        <v>81.754523508708218</v>
      </c>
      <c r="X8" s="130"/>
    </row>
    <row r="9" spans="1:30">
      <c r="A9" s="199" t="s">
        <v>21</v>
      </c>
      <c r="B9" s="200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2"/>
      <c r="X9" s="130"/>
    </row>
    <row r="10" spans="1:30">
      <c r="A10" s="195" t="s">
        <v>35</v>
      </c>
      <c r="B10" s="196" t="s">
        <v>96</v>
      </c>
      <c r="C10" s="197">
        <f t="shared" ref="C10:W10" si="3">SUM(C4:C9)</f>
        <v>3326.1606763089185</v>
      </c>
      <c r="D10" s="197">
        <f t="shared" si="3"/>
        <v>70.663031627431252</v>
      </c>
      <c r="E10" s="197">
        <f t="shared" si="3"/>
        <v>72.42960741811703</v>
      </c>
      <c r="F10" s="197">
        <f t="shared" si="3"/>
        <v>74.240347603569944</v>
      </c>
      <c r="G10" s="197">
        <f t="shared" si="3"/>
        <v>76.096356293659184</v>
      </c>
      <c r="H10" s="197">
        <f t="shared" si="3"/>
        <v>134.5691758455319</v>
      </c>
      <c r="I10" s="197">
        <f t="shared" si="3"/>
        <v>79.948734331025676</v>
      </c>
      <c r="J10" s="197">
        <f t="shared" si="3"/>
        <v>81.947452689301315</v>
      </c>
      <c r="K10" s="197">
        <f t="shared" si="3"/>
        <v>83.996139006533838</v>
      </c>
      <c r="L10" s="197">
        <f t="shared" si="3"/>
        <v>86.096042481697168</v>
      </c>
      <c r="M10" s="197">
        <f t="shared" si="3"/>
        <v>216.25689796337534</v>
      </c>
      <c r="N10" s="197">
        <f t="shared" si="3"/>
        <v>90.454654632333103</v>
      </c>
      <c r="O10" s="197">
        <f t="shared" si="3"/>
        <v>92.716020998141417</v>
      </c>
      <c r="P10" s="197">
        <f t="shared" si="3"/>
        <v>95.033921523094932</v>
      </c>
      <c r="Q10" s="197">
        <f t="shared" si="3"/>
        <v>97.409769561172311</v>
      </c>
      <c r="R10" s="197">
        <f t="shared" si="3"/>
        <v>172.25992212510715</v>
      </c>
      <c r="S10" s="197">
        <f t="shared" si="3"/>
        <v>102.34113914520667</v>
      </c>
      <c r="T10" s="197">
        <f t="shared" si="3"/>
        <v>104.89966762383681</v>
      </c>
      <c r="U10" s="197">
        <f t="shared" si="3"/>
        <v>107.52215931443274</v>
      </c>
      <c r="V10" s="197">
        <f t="shared" si="3"/>
        <v>110.21021329729356</v>
      </c>
      <c r="W10" s="198">
        <f t="shared" si="3"/>
        <v>276.82711265876549</v>
      </c>
      <c r="X10" s="130"/>
    </row>
    <row r="11" spans="1:30">
      <c r="A11" s="74"/>
      <c r="B11" s="7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105"/>
    </row>
    <row r="12" spans="1:30">
      <c r="A12" s="77">
        <v>2</v>
      </c>
      <c r="B12" s="78" t="s">
        <v>111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105"/>
    </row>
    <row r="13" spans="1:30">
      <c r="A13" s="79" t="s">
        <v>8</v>
      </c>
      <c r="B13" s="80" t="s">
        <v>125</v>
      </c>
      <c r="C13" s="81">
        <f>$Q$27</f>
        <v>831.54016907722962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2"/>
      <c r="X13" s="130"/>
    </row>
    <row r="14" spans="1:30">
      <c r="A14" s="79" t="s">
        <v>11</v>
      </c>
      <c r="B14" s="80" t="s">
        <v>127</v>
      </c>
      <c r="C14" s="81">
        <f>T27</f>
        <v>498.92410144633777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  <c r="X14" s="130"/>
    </row>
    <row r="15" spans="1:30">
      <c r="A15" s="79" t="s">
        <v>13</v>
      </c>
      <c r="B15" s="80" t="s">
        <v>97</v>
      </c>
      <c r="C15" s="81"/>
      <c r="D15" s="81">
        <f t="shared" ref="D15:W15" si="4">0.001*mwh*ene*(1+esc)^(D$1-$C$1)</f>
        <v>91.666870801166866</v>
      </c>
      <c r="E15" s="81">
        <f t="shared" si="4"/>
        <v>93.958542571196034</v>
      </c>
      <c r="F15" s="81">
        <f t="shared" si="4"/>
        <v>96.307506135475933</v>
      </c>
      <c r="G15" s="81">
        <f t="shared" si="4"/>
        <v>98.71519378886282</v>
      </c>
      <c r="H15" s="81">
        <f t="shared" si="4"/>
        <v>101.18307363358439</v>
      </c>
      <c r="I15" s="81">
        <f t="shared" si="4"/>
        <v>103.71265047442398</v>
      </c>
      <c r="J15" s="81">
        <f t="shared" si="4"/>
        <v>106.30546673628459</v>
      </c>
      <c r="K15" s="81">
        <f t="shared" si="4"/>
        <v>108.96310340469169</v>
      </c>
      <c r="L15" s="81">
        <f t="shared" si="4"/>
        <v>111.68718098980897</v>
      </c>
      <c r="M15" s="81">
        <f t="shared" si="4"/>
        <v>114.47936051455419</v>
      </c>
      <c r="N15" s="81">
        <f t="shared" si="4"/>
        <v>117.34134452741804</v>
      </c>
      <c r="O15" s="81">
        <f t="shared" si="4"/>
        <v>120.27487814060349</v>
      </c>
      <c r="P15" s="81">
        <f t="shared" si="4"/>
        <v>123.28175009411856</v>
      </c>
      <c r="Q15" s="81">
        <f t="shared" si="4"/>
        <v>126.36379384647152</v>
      </c>
      <c r="R15" s="81">
        <f t="shared" si="4"/>
        <v>129.52288869263333</v>
      </c>
      <c r="S15" s="81">
        <f t="shared" si="4"/>
        <v>132.76096090994915</v>
      </c>
      <c r="T15" s="81">
        <f t="shared" si="4"/>
        <v>136.07998493269787</v>
      </c>
      <c r="U15" s="81">
        <f t="shared" si="4"/>
        <v>139.48198455601531</v>
      </c>
      <c r="V15" s="81">
        <f t="shared" si="4"/>
        <v>142.96903416991569</v>
      </c>
      <c r="W15" s="82">
        <f t="shared" si="4"/>
        <v>146.54326002416357</v>
      </c>
      <c r="X15" s="130"/>
    </row>
    <row r="16" spans="1:30">
      <c r="A16" s="79" t="s">
        <v>16</v>
      </c>
      <c r="B16" s="80" t="s">
        <v>98</v>
      </c>
      <c r="C16" s="81"/>
      <c r="D16" s="81">
        <f t="shared" ref="D16:W16" si="5">0.001*mwh*$K$29*(1+esc)^(D$1-$C$1)</f>
        <v>18.333374160233369</v>
      </c>
      <c r="E16" s="81">
        <f t="shared" si="5"/>
        <v>18.791708514239204</v>
      </c>
      <c r="F16" s="81">
        <f t="shared" si="5"/>
        <v>19.261501227095184</v>
      </c>
      <c r="G16" s="81">
        <f t="shared" si="5"/>
        <v>19.743038757772563</v>
      </c>
      <c r="H16" s="81">
        <f t="shared" si="5"/>
        <v>20.236614726716873</v>
      </c>
      <c r="I16" s="81">
        <f t="shared" si="5"/>
        <v>20.742530094884795</v>
      </c>
      <c r="J16" s="81">
        <f t="shared" si="5"/>
        <v>21.261093347256914</v>
      </c>
      <c r="K16" s="81">
        <f t="shared" si="5"/>
        <v>21.792620680938334</v>
      </c>
      <c r="L16" s="81">
        <f t="shared" si="5"/>
        <v>22.337436197961789</v>
      </c>
      <c r="M16" s="81">
        <f t="shared" si="5"/>
        <v>22.895872102910836</v>
      </c>
      <c r="N16" s="81">
        <f t="shared" si="5"/>
        <v>23.468268905483605</v>
      </c>
      <c r="O16" s="81">
        <f t="shared" si="5"/>
        <v>24.054975628120694</v>
      </c>
      <c r="P16" s="81">
        <f t="shared" si="5"/>
        <v>24.656350018823712</v>
      </c>
      <c r="Q16" s="81">
        <f t="shared" si="5"/>
        <v>25.272758769294299</v>
      </c>
      <c r="R16" s="81">
        <f t="shared" si="5"/>
        <v>25.904577738526662</v>
      </c>
      <c r="S16" s="81">
        <f t="shared" si="5"/>
        <v>26.552192181989827</v>
      </c>
      <c r="T16" s="81">
        <f t="shared" si="5"/>
        <v>27.215996986539569</v>
      </c>
      <c r="U16" s="81">
        <f t="shared" si="5"/>
        <v>27.896396911203059</v>
      </c>
      <c r="V16" s="81">
        <f t="shared" si="5"/>
        <v>28.593806833983134</v>
      </c>
      <c r="W16" s="81">
        <f t="shared" si="5"/>
        <v>29.308652004832709</v>
      </c>
      <c r="X16" s="105"/>
    </row>
    <row r="17" spans="1:24">
      <c r="A17" s="79" t="s">
        <v>19</v>
      </c>
      <c r="B17" s="80" t="s">
        <v>117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2"/>
      <c r="X17" s="130"/>
    </row>
    <row r="18" spans="1:24">
      <c r="A18" s="79" t="s">
        <v>21</v>
      </c>
      <c r="B18" s="80" t="s">
        <v>150</v>
      </c>
      <c r="C18" s="81"/>
      <c r="D18" s="81">
        <f t="shared" ref="D18:W18" si="6">0.001*cap*12*(dem)*(1+esc)^(D$1-$C$1)</f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1">
        <f t="shared" si="6"/>
        <v>0</v>
      </c>
      <c r="P18" s="81">
        <f t="shared" si="6"/>
        <v>0</v>
      </c>
      <c r="Q18" s="81">
        <f t="shared" si="6"/>
        <v>0</v>
      </c>
      <c r="R18" s="81">
        <f t="shared" si="6"/>
        <v>0</v>
      </c>
      <c r="S18" s="81">
        <f t="shared" si="6"/>
        <v>0</v>
      </c>
      <c r="T18" s="81">
        <f t="shared" si="6"/>
        <v>0</v>
      </c>
      <c r="U18" s="81">
        <f t="shared" si="6"/>
        <v>0</v>
      </c>
      <c r="V18" s="81">
        <f t="shared" si="6"/>
        <v>0</v>
      </c>
      <c r="W18" s="82">
        <f t="shared" si="6"/>
        <v>0</v>
      </c>
      <c r="X18" s="130"/>
    </row>
    <row r="19" spans="1:24">
      <c r="A19" s="199" t="s">
        <v>35</v>
      </c>
      <c r="B19" s="355" t="s">
        <v>426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202">
        <f>IF($V$23&lt;=0,0,(1+esc)*$V$23/(dis-esc))</f>
        <v>2515.4577359708155</v>
      </c>
      <c r="X19" s="130"/>
    </row>
    <row r="20" spans="1:24">
      <c r="A20" s="195" t="s">
        <v>36</v>
      </c>
      <c r="B20" s="196" t="s">
        <v>99</v>
      </c>
      <c r="C20" s="197">
        <f>SUM(C13:C19)</f>
        <v>1330.4642705235674</v>
      </c>
      <c r="D20" s="197">
        <f t="shared" ref="D20:W20" si="7">SUM(D13:D19)</f>
        <v>110.00024496140023</v>
      </c>
      <c r="E20" s="197">
        <f t="shared" si="7"/>
        <v>112.75025108543524</v>
      </c>
      <c r="F20" s="197">
        <f t="shared" si="7"/>
        <v>115.56900736257111</v>
      </c>
      <c r="G20" s="197">
        <f t="shared" si="7"/>
        <v>118.45823254663539</v>
      </c>
      <c r="H20" s="197">
        <f t="shared" si="7"/>
        <v>121.41968836030125</v>
      </c>
      <c r="I20" s="197">
        <f t="shared" si="7"/>
        <v>124.45518056930878</v>
      </c>
      <c r="J20" s="197">
        <f t="shared" si="7"/>
        <v>127.5665600835415</v>
      </c>
      <c r="K20" s="197">
        <f t="shared" si="7"/>
        <v>130.75572408563002</v>
      </c>
      <c r="L20" s="197">
        <f t="shared" si="7"/>
        <v>134.02461718777076</v>
      </c>
      <c r="M20" s="197">
        <f t="shared" si="7"/>
        <v>137.37523261746503</v>
      </c>
      <c r="N20" s="197">
        <f t="shared" si="7"/>
        <v>140.80961343290164</v>
      </c>
      <c r="O20" s="197">
        <f t="shared" si="7"/>
        <v>144.32985376872418</v>
      </c>
      <c r="P20" s="197">
        <f t="shared" si="7"/>
        <v>147.93810011294227</v>
      </c>
      <c r="Q20" s="197">
        <f t="shared" si="7"/>
        <v>151.63655261576582</v>
      </c>
      <c r="R20" s="197">
        <f t="shared" si="7"/>
        <v>155.42746643115998</v>
      </c>
      <c r="S20" s="197">
        <f t="shared" si="7"/>
        <v>159.31315309193897</v>
      </c>
      <c r="T20" s="197">
        <f t="shared" si="7"/>
        <v>163.29598191923745</v>
      </c>
      <c r="U20" s="197">
        <f t="shared" si="7"/>
        <v>167.37838146721836</v>
      </c>
      <c r="V20" s="197">
        <f t="shared" si="7"/>
        <v>171.56284100389882</v>
      </c>
      <c r="W20" s="197">
        <f t="shared" si="7"/>
        <v>2691.3096479998117</v>
      </c>
      <c r="X20" s="105"/>
    </row>
    <row r="21" spans="1:2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  <c r="X21" s="344">
        <f>0.5*C4*(1+esc)^20</f>
        <v>2725.1507836236074</v>
      </c>
    </row>
    <row r="22" spans="1:24">
      <c r="A22" s="77">
        <v>3</v>
      </c>
      <c r="B22" s="78" t="s">
        <v>112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6"/>
      <c r="X22" s="344">
        <f>(1+esc)*V23/(dis-esc)</f>
        <v>2515.4577359708155</v>
      </c>
    </row>
    <row r="23" spans="1:24">
      <c r="A23" s="79" t="s">
        <v>8</v>
      </c>
      <c r="B23" s="80" t="s">
        <v>100</v>
      </c>
      <c r="C23" s="81">
        <f t="shared" ref="C23:W23" si="8">C20-C10</f>
        <v>-1995.6964057853511</v>
      </c>
      <c r="D23" s="81">
        <f t="shared" si="8"/>
        <v>39.337213333968975</v>
      </c>
      <c r="E23" s="81">
        <f t="shared" si="8"/>
        <v>40.320643667318208</v>
      </c>
      <c r="F23" s="81">
        <f t="shared" si="8"/>
        <v>41.32865975900117</v>
      </c>
      <c r="G23" s="81">
        <f t="shared" si="8"/>
        <v>42.361876252976202</v>
      </c>
      <c r="H23" s="81">
        <f t="shared" si="8"/>
        <v>-13.149487485230651</v>
      </c>
      <c r="I23" s="81">
        <f t="shared" si="8"/>
        <v>44.506446238283104</v>
      </c>
      <c r="J23" s="81">
        <f t="shared" si="8"/>
        <v>45.619107394240189</v>
      </c>
      <c r="K23" s="81">
        <f t="shared" si="8"/>
        <v>46.759585079096183</v>
      </c>
      <c r="L23" s="81">
        <f t="shared" si="8"/>
        <v>47.92857470607359</v>
      </c>
      <c r="M23" s="81">
        <f t="shared" si="8"/>
        <v>-78.881665345910307</v>
      </c>
      <c r="N23" s="81">
        <f t="shared" si="8"/>
        <v>50.354958800568539</v>
      </c>
      <c r="O23" s="81">
        <f t="shared" si="8"/>
        <v>51.613832770582761</v>
      </c>
      <c r="P23" s="81">
        <f t="shared" si="8"/>
        <v>52.904178589847334</v>
      </c>
      <c r="Q23" s="81">
        <f t="shared" si="8"/>
        <v>54.226783054593511</v>
      </c>
      <c r="R23" s="81">
        <f t="shared" si="8"/>
        <v>-16.832455693947168</v>
      </c>
      <c r="S23" s="81">
        <f t="shared" si="8"/>
        <v>56.972013946732304</v>
      </c>
      <c r="T23" s="81">
        <f t="shared" si="8"/>
        <v>58.396314295400643</v>
      </c>
      <c r="U23" s="81">
        <f t="shared" si="8"/>
        <v>59.85622215278562</v>
      </c>
      <c r="V23" s="81">
        <f t="shared" si="8"/>
        <v>61.352627706605261</v>
      </c>
      <c r="W23" s="82">
        <f t="shared" si="8"/>
        <v>2414.4825353410461</v>
      </c>
      <c r="X23" s="130"/>
    </row>
    <row r="24" spans="1:24">
      <c r="A24" s="79" t="s">
        <v>11</v>
      </c>
      <c r="B24" s="80" t="s">
        <v>101</v>
      </c>
      <c r="C24" s="81">
        <f>C23</f>
        <v>-1995.6964057853511</v>
      </c>
      <c r="D24" s="81">
        <f t="shared" ref="D24:W24" si="9">D23/(1+dis)^(D$1-$C$1)</f>
        <v>37.46401269901807</v>
      </c>
      <c r="E24" s="81">
        <f t="shared" si="9"/>
        <v>36.572012396660504</v>
      </c>
      <c r="F24" s="81">
        <f t="shared" si="9"/>
        <v>35.70125019674002</v>
      </c>
      <c r="G24" s="81">
        <f t="shared" si="9"/>
        <v>34.851220430150981</v>
      </c>
      <c r="H24" s="81">
        <f t="shared" si="9"/>
        <v>-10.302967520327748</v>
      </c>
      <c r="I24" s="81">
        <f t="shared" si="9"/>
        <v>33.211395432587175</v>
      </c>
      <c r="J24" s="81">
        <f t="shared" si="9"/>
        <v>32.420647922287479</v>
      </c>
      <c r="K24" s="81">
        <f t="shared" si="9"/>
        <v>31.64872773366158</v>
      </c>
      <c r="L24" s="81">
        <f t="shared" si="9"/>
        <v>30.89518659714583</v>
      </c>
      <c r="M24" s="81">
        <f t="shared" si="9"/>
        <v>-48.426499817221163</v>
      </c>
      <c r="N24" s="81">
        <f t="shared" si="9"/>
        <v>29.441501513493257</v>
      </c>
      <c r="O24" s="81">
        <f t="shared" si="9"/>
        <v>28.740513382219618</v>
      </c>
      <c r="P24" s="81">
        <f t="shared" si="9"/>
        <v>28.056215444547718</v>
      </c>
      <c r="Q24" s="81">
        <f t="shared" si="9"/>
        <v>27.388210314915632</v>
      </c>
      <c r="R24" s="81">
        <f t="shared" si="9"/>
        <v>-8.096698991647294</v>
      </c>
      <c r="S24" s="81">
        <f t="shared" si="9"/>
        <v>26.099536020052817</v>
      </c>
      <c r="T24" s="81">
        <f t="shared" si="9"/>
        <v>25.478118495765855</v>
      </c>
      <c r="U24" s="81">
        <f t="shared" si="9"/>
        <v>24.871496626819031</v>
      </c>
      <c r="V24" s="81">
        <f t="shared" si="9"/>
        <v>24.279318135704294</v>
      </c>
      <c r="W24" s="82">
        <f t="shared" si="9"/>
        <v>909.9930741505782</v>
      </c>
      <c r="X24" s="130"/>
    </row>
    <row r="25" spans="1:24">
      <c r="A25" s="79" t="s">
        <v>13</v>
      </c>
      <c r="B25" s="80" t="s">
        <v>102</v>
      </c>
      <c r="C25" s="81">
        <f>C23</f>
        <v>-1995.6964057853511</v>
      </c>
      <c r="D25" s="81">
        <f>SUM($C24:D24)</f>
        <v>-1958.2323930863331</v>
      </c>
      <c r="E25" s="81">
        <f>SUM($C24:E24)</f>
        <v>-1921.6603806896726</v>
      </c>
      <c r="F25" s="81">
        <f>SUM($C24:F24)</f>
        <v>-1885.9591304929327</v>
      </c>
      <c r="G25" s="81">
        <f>SUM($C24:G24)</f>
        <v>-1851.1079100627817</v>
      </c>
      <c r="H25" s="81">
        <f>SUM($C24:H24)</f>
        <v>-1861.4108775831094</v>
      </c>
      <c r="I25" s="81">
        <f>SUM($C24:I24)</f>
        <v>-1828.1994821505223</v>
      </c>
      <c r="J25" s="81">
        <f>SUM($C24:J24)</f>
        <v>-1795.7788342282347</v>
      </c>
      <c r="K25" s="81">
        <f>SUM($C24:K24)</f>
        <v>-1764.1301064945731</v>
      </c>
      <c r="L25" s="81">
        <f>SUM($C24:L24)</f>
        <v>-1733.2349198974273</v>
      </c>
      <c r="M25" s="81">
        <f>SUM($C24:M24)</f>
        <v>-1781.6614197146484</v>
      </c>
      <c r="N25" s="81">
        <f>SUM($C24:N24)</f>
        <v>-1752.2199182011552</v>
      </c>
      <c r="O25" s="81">
        <f>SUM($C24:O24)</f>
        <v>-1723.4794048189356</v>
      </c>
      <c r="P25" s="81">
        <f>SUM($C24:P24)</f>
        <v>-1695.4231893743879</v>
      </c>
      <c r="Q25" s="81">
        <f>SUM($C24:Q24)</f>
        <v>-1668.0349790594723</v>
      </c>
      <c r="R25" s="81">
        <f>SUM($C24:R24)</f>
        <v>-1676.1316780511197</v>
      </c>
      <c r="S25" s="81">
        <f>SUM($C24:S24)</f>
        <v>-1650.032142031067</v>
      </c>
      <c r="T25" s="81">
        <f>SUM($C24:T24)</f>
        <v>-1624.5540235353012</v>
      </c>
      <c r="U25" s="81">
        <f>SUM($C24:U24)</f>
        <v>-1599.6825269084823</v>
      </c>
      <c r="V25" s="81">
        <f>SUM($C24:V24)</f>
        <v>-1575.403208772778</v>
      </c>
      <c r="W25" s="82">
        <f>SUM($C24:W24)</f>
        <v>-665.41013462219985</v>
      </c>
      <c r="X25" s="130"/>
    </row>
    <row r="26" spans="1:24">
      <c r="A26" s="74"/>
      <c r="B26" s="75"/>
      <c r="C26" s="75"/>
      <c r="D26" s="83"/>
      <c r="E26" s="83"/>
      <c r="F26" s="75"/>
      <c r="G26" s="75"/>
      <c r="H26" s="75"/>
      <c r="I26" s="75"/>
      <c r="J26" s="75"/>
      <c r="K26" s="216"/>
      <c r="L26" s="75"/>
      <c r="M26" s="75"/>
      <c r="N26" s="216"/>
      <c r="O26" s="75"/>
      <c r="P26" s="75"/>
      <c r="Q26" s="216"/>
      <c r="R26" s="75"/>
      <c r="S26" s="75"/>
      <c r="T26" s="216"/>
      <c r="U26" s="75"/>
      <c r="V26" s="75"/>
      <c r="W26" s="76"/>
      <c r="X26" s="129"/>
    </row>
    <row r="27" spans="1:24">
      <c r="A27" s="74"/>
      <c r="B27" s="84" t="s">
        <v>103</v>
      </c>
      <c r="C27" s="75"/>
      <c r="D27" s="75" t="s">
        <v>104</v>
      </c>
      <c r="E27" s="122">
        <f>'Summary - Cash'!C9</f>
        <v>2.5000000000000001E-2</v>
      </c>
      <c r="F27" s="75"/>
      <c r="G27" s="75" t="s">
        <v>105</v>
      </c>
      <c r="H27" s="122">
        <f>'Summary - Cash'!F9</f>
        <v>0.05</v>
      </c>
      <c r="I27" s="75"/>
      <c r="J27" s="214" t="s">
        <v>106</v>
      </c>
      <c r="K27" s="218">
        <f>Energy!J4</f>
        <v>715.44874771642424</v>
      </c>
      <c r="L27" s="215"/>
      <c r="M27" s="220" t="s">
        <v>153</v>
      </c>
      <c r="N27" s="221">
        <f>Energy!I4</f>
        <v>204.50209102286885</v>
      </c>
      <c r="O27" s="215"/>
      <c r="P27" s="219" t="s">
        <v>125</v>
      </c>
      <c r="Q27" s="218">
        <f>'Summary - Cash'!F14*'Summary - Cash'!B14</f>
        <v>831.54016907722962</v>
      </c>
      <c r="R27" s="215"/>
      <c r="S27" s="219" t="s">
        <v>126</v>
      </c>
      <c r="T27" s="222">
        <f>'Summary - Cash'!G14*'Summary - Cash'!B14</f>
        <v>498.92410144633777</v>
      </c>
      <c r="U27" s="215"/>
      <c r="V27" s="75"/>
      <c r="W27" s="76"/>
      <c r="X27" s="129"/>
    </row>
    <row r="28" spans="1:24">
      <c r="A28" s="74"/>
      <c r="B28" s="75"/>
      <c r="C28" s="75"/>
      <c r="D28" s="75"/>
      <c r="E28" s="216"/>
      <c r="F28" s="75"/>
      <c r="G28" s="75"/>
      <c r="H28" s="75"/>
      <c r="I28" s="75"/>
      <c r="J28" s="75"/>
      <c r="K28" s="217"/>
      <c r="L28" s="75"/>
      <c r="M28" s="75"/>
      <c r="N28" s="204"/>
      <c r="O28" s="75"/>
      <c r="P28" s="75"/>
      <c r="Q28" s="204"/>
      <c r="R28" s="75"/>
      <c r="S28" s="75"/>
      <c r="T28" s="204"/>
      <c r="U28" s="75"/>
      <c r="V28" s="75"/>
      <c r="W28" s="76"/>
      <c r="X28" s="129"/>
    </row>
    <row r="29" spans="1:24">
      <c r="A29" s="74"/>
      <c r="B29" s="75"/>
      <c r="C29" s="75"/>
      <c r="D29" s="223" t="s">
        <v>107</v>
      </c>
      <c r="E29" s="218">
        <f>'Summary - Cash'!H14</f>
        <v>125</v>
      </c>
      <c r="F29" s="215" t="s">
        <v>119</v>
      </c>
      <c r="G29" s="336" t="s">
        <v>382</v>
      </c>
      <c r="H29" s="93"/>
      <c r="I29" s="85" t="s">
        <v>152</v>
      </c>
      <c r="J29" s="219" t="s">
        <v>108</v>
      </c>
      <c r="K29" s="218">
        <f>'Summary - Cash'!C10</f>
        <v>25</v>
      </c>
      <c r="L29" s="215" t="s">
        <v>119</v>
      </c>
      <c r="M29" s="86" t="s">
        <v>120</v>
      </c>
      <c r="N29" s="231">
        <v>0</v>
      </c>
      <c r="O29" s="88" t="s">
        <v>109</v>
      </c>
      <c r="P29" s="89" t="s">
        <v>118</v>
      </c>
      <c r="Q29" s="87"/>
      <c r="R29" s="75" t="s">
        <v>119</v>
      </c>
      <c r="S29" s="75"/>
      <c r="T29" s="75"/>
      <c r="U29" s="75"/>
      <c r="V29" s="75"/>
      <c r="W29" s="76"/>
      <c r="X29" s="129"/>
    </row>
    <row r="30" spans="1:24">
      <c r="A30" s="74"/>
      <c r="B30" s="75"/>
      <c r="C30" s="75"/>
      <c r="D30" s="75"/>
      <c r="E30" s="204"/>
      <c r="F30" s="75"/>
      <c r="G30" s="75"/>
      <c r="H30" s="75"/>
      <c r="I30" s="75"/>
      <c r="J30" s="75"/>
      <c r="K30" s="204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  <c r="X30" s="129"/>
    </row>
    <row r="31" spans="1:24">
      <c r="A31" s="74"/>
      <c r="B31" s="90" t="s">
        <v>121</v>
      </c>
      <c r="C31" s="75"/>
      <c r="D31" s="75"/>
      <c r="E31" s="75" t="s">
        <v>122</v>
      </c>
      <c r="F31" s="75"/>
      <c r="G31" s="75"/>
      <c r="H31" s="91">
        <f>IRR($C23:$W23)</f>
        <v>2.520592783790163E-2</v>
      </c>
      <c r="I31" s="85"/>
      <c r="J31" s="85" t="s">
        <v>102</v>
      </c>
      <c r="K31" s="92">
        <f>$W25</f>
        <v>-665.41013462219985</v>
      </c>
      <c r="L31" s="85"/>
      <c r="M31" s="85"/>
      <c r="N31" s="85"/>
      <c r="O31" s="85"/>
      <c r="P31" s="86" t="s">
        <v>123</v>
      </c>
      <c r="Q31" s="93">
        <f>MATCH(1,D25:W25)</f>
        <v>20</v>
      </c>
      <c r="R31" s="75"/>
      <c r="S31" s="75"/>
      <c r="T31" s="75"/>
      <c r="U31" s="75"/>
      <c r="V31" s="75"/>
      <c r="W31" s="76"/>
      <c r="X31" s="129"/>
    </row>
    <row r="32" spans="1:24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6"/>
    </row>
    <row r="33" spans="1:23">
      <c r="B33" s="2" t="s">
        <v>113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>
      <c r="A34">
        <v>1</v>
      </c>
      <c r="B34" s="138" t="s">
        <v>369</v>
      </c>
      <c r="D34" s="4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>
      <c r="A35">
        <v>2</v>
      </c>
      <c r="B35" t="s">
        <v>131</v>
      </c>
      <c r="G35" s="107"/>
      <c r="L35" s="224"/>
      <c r="M35" s="138" t="s">
        <v>307</v>
      </c>
    </row>
    <row r="36" spans="1:23">
      <c r="A36">
        <v>3</v>
      </c>
      <c r="B36" s="138" t="s">
        <v>383</v>
      </c>
      <c r="G36" s="106"/>
      <c r="L36" s="227"/>
      <c r="M36" s="138" t="s">
        <v>308</v>
      </c>
    </row>
    <row r="37" spans="1:23">
      <c r="A37">
        <v>4</v>
      </c>
      <c r="B37" s="138" t="s">
        <v>393</v>
      </c>
    </row>
    <row r="38" spans="1:23">
      <c r="A38">
        <v>5</v>
      </c>
      <c r="B38" s="138" t="s">
        <v>425</v>
      </c>
    </row>
    <row r="41" spans="1:23">
      <c r="B41" s="6"/>
    </row>
  </sheetData>
  <sheetProtection selectLockedCells="1"/>
  <phoneticPr fontId="5" type="noConversion"/>
  <printOptions horizontalCentered="1"/>
  <pageMargins left="1" right="1" top="2.25" bottom="1" header="0.5" footer="0.5"/>
  <pageSetup paperSize="3" scale="80" orientation="landscape" r:id="rId1"/>
  <headerFooter alignWithMargins="0">
    <oddHeader>&amp;L&amp;"Arial,Bold Italic"&amp;11Privileged and Confidential&amp;C&amp;"Arial,Bold Italic"&amp;11Ten Mile River Feasibility Study
Phase 1
&amp;R&amp;"Arial,Bold Italic"&amp;11&amp;A</oddHeader>
    <oddFooter>&amp;L&amp;G&amp;C&amp;"Arial,Bold Italic"For Planning Purposes Only&amp;R&amp;"Arial,Bold Italic"&amp;F</oddFooter>
  </headerFooter>
  <colBreaks count="1" manualBreakCount="1">
    <brk id="13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/>
  </sheetPr>
  <dimension ref="A1:AD41"/>
  <sheetViews>
    <sheetView view="pageBreakPreview" zoomScale="70" zoomScaleNormal="100" zoomScaleSheetLayoutView="70" workbookViewId="0">
      <selection activeCell="W61" sqref="W61"/>
    </sheetView>
  </sheetViews>
  <sheetFormatPr defaultRowHeight="12.75"/>
  <cols>
    <col min="1" max="1" width="4.5703125" customWidth="1"/>
    <col min="2" max="2" width="30.85546875" customWidth="1"/>
    <col min="3" max="3" width="9.28515625" bestFit="1" customWidth="1"/>
    <col min="4" max="4" width="9.42578125" bestFit="1" customWidth="1"/>
    <col min="5" max="7" width="9.28515625" bestFit="1" customWidth="1"/>
    <col min="8" max="8" width="9.85546875" bestFit="1" customWidth="1"/>
    <col min="9" max="9" width="9.28515625" bestFit="1" customWidth="1"/>
    <col min="10" max="10" width="12.28515625" customWidth="1"/>
    <col min="11" max="11" width="12.42578125" customWidth="1"/>
    <col min="12" max="23" width="9.28515625" bestFit="1" customWidth="1"/>
    <col min="24" max="24" width="25.28515625" style="112" customWidth="1"/>
  </cols>
  <sheetData>
    <row r="1" spans="1:30" ht="26.25" thickBot="1">
      <c r="A1" s="228" t="s">
        <v>0</v>
      </c>
      <c r="B1" s="229" t="s">
        <v>92</v>
      </c>
      <c r="C1" s="229">
        <v>0</v>
      </c>
      <c r="D1" s="229">
        <v>1</v>
      </c>
      <c r="E1" s="229">
        <v>2</v>
      </c>
      <c r="F1" s="229">
        <v>3</v>
      </c>
      <c r="G1" s="229">
        <v>4</v>
      </c>
      <c r="H1" s="229">
        <v>5</v>
      </c>
      <c r="I1" s="229">
        <v>6</v>
      </c>
      <c r="J1" s="229">
        <v>7</v>
      </c>
      <c r="K1" s="229">
        <v>8</v>
      </c>
      <c r="L1" s="229">
        <v>9</v>
      </c>
      <c r="M1" s="229">
        <v>10</v>
      </c>
      <c r="N1" s="229">
        <v>11</v>
      </c>
      <c r="O1" s="229">
        <v>12</v>
      </c>
      <c r="P1" s="229">
        <v>13</v>
      </c>
      <c r="Q1" s="229">
        <v>14</v>
      </c>
      <c r="R1" s="229">
        <v>15</v>
      </c>
      <c r="S1" s="229">
        <v>16</v>
      </c>
      <c r="T1" s="229">
        <v>17</v>
      </c>
      <c r="U1" s="229">
        <v>18</v>
      </c>
      <c r="V1" s="229">
        <v>19</v>
      </c>
      <c r="W1" s="230">
        <v>20</v>
      </c>
      <c r="X1" s="120" t="s">
        <v>199</v>
      </c>
      <c r="AA1" s="1"/>
      <c r="AB1" s="1"/>
      <c r="AC1" s="1"/>
      <c r="AD1" s="1"/>
    </row>
    <row r="2" spans="1:30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6"/>
      <c r="X2" s="129"/>
    </row>
    <row r="3" spans="1:30">
      <c r="A3" s="77">
        <v>1</v>
      </c>
      <c r="B3" s="78" t="s">
        <v>110</v>
      </c>
      <c r="C3" s="216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129"/>
    </row>
    <row r="4" spans="1:30">
      <c r="A4" s="79" t="s">
        <v>8</v>
      </c>
      <c r="B4" s="225" t="s">
        <v>93</v>
      </c>
      <c r="C4" s="227">
        <f>'Costs B'!F137</f>
        <v>4366.4040088738402</v>
      </c>
      <c r="D4" s="226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130"/>
    </row>
    <row r="5" spans="1:30">
      <c r="A5" s="79" t="s">
        <v>11</v>
      </c>
      <c r="B5" s="80" t="s">
        <v>94</v>
      </c>
      <c r="C5" s="197"/>
      <c r="D5" s="81">
        <f t="shared" ref="D5:W5" si="0">mwh*(0.015)*(1+esc)^(D$1-$C$1)</f>
        <v>7.0062255014873713</v>
      </c>
      <c r="E5" s="81">
        <f t="shared" si="0"/>
        <v>7.1813811390245563</v>
      </c>
      <c r="F5" s="81">
        <f t="shared" si="0"/>
        <v>7.3609156675001692</v>
      </c>
      <c r="G5" s="81">
        <f t="shared" si="0"/>
        <v>7.5449385591876732</v>
      </c>
      <c r="H5" s="81">
        <f t="shared" si="0"/>
        <v>7.7335620231673641</v>
      </c>
      <c r="I5" s="81">
        <f t="shared" si="0"/>
        <v>7.9269010737465475</v>
      </c>
      <c r="J5" s="81">
        <f t="shared" si="0"/>
        <v>8.1250736005902109</v>
      </c>
      <c r="K5" s="81">
        <f t="shared" si="0"/>
        <v>8.3282004406049666</v>
      </c>
      <c r="L5" s="81">
        <f t="shared" si="0"/>
        <v>8.5364054516200891</v>
      </c>
      <c r="M5" s="81">
        <f t="shared" si="0"/>
        <v>8.7498155879105912</v>
      </c>
      <c r="N5" s="81">
        <f t="shared" si="0"/>
        <v>8.9685609776083552</v>
      </c>
      <c r="O5" s="81">
        <f t="shared" si="0"/>
        <v>9.1927750020485632</v>
      </c>
      <c r="P5" s="81">
        <f t="shared" si="0"/>
        <v>9.4225943770997773</v>
      </c>
      <c r="Q5" s="81">
        <f t="shared" si="0"/>
        <v>9.6581592365272719</v>
      </c>
      <c r="R5" s="81">
        <f t="shared" si="0"/>
        <v>9.8996132174404536</v>
      </c>
      <c r="S5" s="81">
        <f t="shared" si="0"/>
        <v>10.147103547876466</v>
      </c>
      <c r="T5" s="81">
        <f t="shared" si="0"/>
        <v>10.400781136573375</v>
      </c>
      <c r="U5" s="81">
        <f t="shared" si="0"/>
        <v>10.660800664987709</v>
      </c>
      <c r="V5" s="81">
        <f t="shared" si="0"/>
        <v>10.927320681612402</v>
      </c>
      <c r="W5" s="81">
        <f t="shared" si="0"/>
        <v>11.200503698652712</v>
      </c>
      <c r="X5" s="130"/>
    </row>
    <row r="6" spans="1:30">
      <c r="A6" s="79" t="s">
        <v>13</v>
      </c>
      <c r="B6" s="80" t="s">
        <v>95</v>
      </c>
      <c r="C6" s="81"/>
      <c r="D6" s="81"/>
      <c r="E6" s="81"/>
      <c r="F6" s="81"/>
      <c r="G6" s="81"/>
      <c r="H6" s="81">
        <f>50*(1+esc)^(H1-$C1)</f>
        <v>56.570410644531236</v>
      </c>
      <c r="I6" s="81"/>
      <c r="J6" s="81"/>
      <c r="K6" s="81"/>
      <c r="L6" s="81"/>
      <c r="M6" s="81">
        <f>100*(1+esc)^(M1-$C1)</f>
        <v>128.00845441963571</v>
      </c>
      <c r="N6" s="81"/>
      <c r="O6" s="81"/>
      <c r="P6" s="81"/>
      <c r="Q6" s="81"/>
      <c r="R6" s="81">
        <f>50*(1+esc)^(R1-$C1)</f>
        <v>72.414908324905525</v>
      </c>
      <c r="S6" s="81"/>
      <c r="T6" s="81"/>
      <c r="U6" s="81"/>
      <c r="V6" s="81"/>
      <c r="W6" s="82">
        <f>100*(1+esc)^(W1-$C1)</f>
        <v>163.86164402903955</v>
      </c>
      <c r="X6" s="130"/>
    </row>
    <row r="7" spans="1:30">
      <c r="A7" s="79" t="s">
        <v>16</v>
      </c>
      <c r="B7" s="332" t="s">
        <v>368</v>
      </c>
      <c r="C7" s="81"/>
      <c r="D7" s="81">
        <f t="shared" ref="D7:W7" si="1">(0.0025*$C$4*(1+esc)^(D$1-$C$1))</f>
        <v>11.188910272739214</v>
      </c>
      <c r="E7" s="81">
        <f t="shared" si="1"/>
        <v>11.468633029557695</v>
      </c>
      <c r="F7" s="81">
        <f t="shared" si="1"/>
        <v>11.755348855296637</v>
      </c>
      <c r="G7" s="81">
        <f t="shared" si="1"/>
        <v>12.049232576679053</v>
      </c>
      <c r="H7" s="81">
        <f t="shared" si="1"/>
        <v>12.350463391096028</v>
      </c>
      <c r="I7" s="81">
        <f t="shared" si="1"/>
        <v>12.659224975873427</v>
      </c>
      <c r="J7" s="81">
        <f t="shared" si="1"/>
        <v>12.975705600270263</v>
      </c>
      <c r="K7" s="81">
        <f t="shared" si="1"/>
        <v>13.300098240277018</v>
      </c>
      <c r="L7" s="81">
        <f t="shared" si="1"/>
        <v>13.632600696283943</v>
      </c>
      <c r="M7" s="81">
        <f t="shared" si="1"/>
        <v>13.97341571369104</v>
      </c>
      <c r="N7" s="81">
        <f t="shared" si="1"/>
        <v>14.322751106533316</v>
      </c>
      <c r="O7" s="81">
        <f t="shared" si="1"/>
        <v>14.680819884196648</v>
      </c>
      <c r="P7" s="81">
        <f t="shared" si="1"/>
        <v>15.047840381301564</v>
      </c>
      <c r="Q7" s="81">
        <f t="shared" si="1"/>
        <v>15.4240363908341</v>
      </c>
      <c r="R7" s="81">
        <f t="shared" si="1"/>
        <v>15.809637300604956</v>
      </c>
      <c r="S7" s="81">
        <f t="shared" si="1"/>
        <v>16.204878233120077</v>
      </c>
      <c r="T7" s="81">
        <f t="shared" si="1"/>
        <v>16.610000188948078</v>
      </c>
      <c r="U7" s="81">
        <f t="shared" si="1"/>
        <v>17.025250193671781</v>
      </c>
      <c r="V7" s="81">
        <f t="shared" si="1"/>
        <v>17.450881448513574</v>
      </c>
      <c r="W7" s="81">
        <f t="shared" si="1"/>
        <v>17.887153484726412</v>
      </c>
      <c r="X7" s="130"/>
    </row>
    <row r="8" spans="1:30">
      <c r="A8" s="79" t="s">
        <v>19</v>
      </c>
      <c r="B8" s="332" t="s">
        <v>381</v>
      </c>
      <c r="C8" s="81"/>
      <c r="D8" s="81">
        <f t="shared" ref="D8:W8" si="2">(0.015*$C$4*(1+esc)^(D$1-$C$1))</f>
        <v>67.133461636435285</v>
      </c>
      <c r="E8" s="81">
        <f t="shared" si="2"/>
        <v>68.811798177346176</v>
      </c>
      <c r="F8" s="81">
        <f t="shared" si="2"/>
        <v>70.532093131779817</v>
      </c>
      <c r="G8" s="81">
        <f t="shared" si="2"/>
        <v>72.295395460074317</v>
      </c>
      <c r="H8" s="81">
        <f t="shared" si="2"/>
        <v>74.102780346576168</v>
      </c>
      <c r="I8" s="81">
        <f t="shared" si="2"/>
        <v>75.955349855240556</v>
      </c>
      <c r="J8" s="81">
        <f t="shared" si="2"/>
        <v>77.854233601621573</v>
      </c>
      <c r="K8" s="81">
        <f t="shared" si="2"/>
        <v>79.800589441662112</v>
      </c>
      <c r="L8" s="81">
        <f t="shared" si="2"/>
        <v>81.795604177703652</v>
      </c>
      <c r="M8" s="81">
        <f t="shared" si="2"/>
        <v>83.840494282146238</v>
      </c>
      <c r="N8" s="81">
        <f t="shared" si="2"/>
        <v>85.936506639199891</v>
      </c>
      <c r="O8" s="81">
        <f t="shared" si="2"/>
        <v>88.084919305179881</v>
      </c>
      <c r="P8" s="81">
        <f t="shared" si="2"/>
        <v>90.287042287809385</v>
      </c>
      <c r="Q8" s="81">
        <f t="shared" si="2"/>
        <v>92.544218345004609</v>
      </c>
      <c r="R8" s="81">
        <f t="shared" si="2"/>
        <v>94.857823803629742</v>
      </c>
      <c r="S8" s="81">
        <f t="shared" si="2"/>
        <v>97.229269398720476</v>
      </c>
      <c r="T8" s="81">
        <f t="shared" si="2"/>
        <v>99.660001133688468</v>
      </c>
      <c r="U8" s="81">
        <f t="shared" si="2"/>
        <v>102.15150116203068</v>
      </c>
      <c r="V8" s="81">
        <f t="shared" si="2"/>
        <v>104.70528869108145</v>
      </c>
      <c r="W8" s="81">
        <f t="shared" si="2"/>
        <v>107.32292090835847</v>
      </c>
      <c r="X8" s="130"/>
    </row>
    <row r="9" spans="1:30">
      <c r="A9" s="199" t="s">
        <v>21</v>
      </c>
      <c r="B9" s="200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2"/>
      <c r="X9" s="130"/>
    </row>
    <row r="10" spans="1:30">
      <c r="A10" s="195" t="s">
        <v>35</v>
      </c>
      <c r="B10" s="196" t="s">
        <v>96</v>
      </c>
      <c r="C10" s="197">
        <f t="shared" ref="C10:W10" si="3">SUM(C4:C9)</f>
        <v>4366.4040088738402</v>
      </c>
      <c r="D10" s="197">
        <f t="shared" si="3"/>
        <v>85.328597410661871</v>
      </c>
      <c r="E10" s="197">
        <f t="shared" si="3"/>
        <v>87.461812345928422</v>
      </c>
      <c r="F10" s="197">
        <f t="shared" si="3"/>
        <v>89.648357654576614</v>
      </c>
      <c r="G10" s="197">
        <f t="shared" si="3"/>
        <v>91.889566595941048</v>
      </c>
      <c r="H10" s="197">
        <f t="shared" si="3"/>
        <v>150.7572164053708</v>
      </c>
      <c r="I10" s="197">
        <f t="shared" si="3"/>
        <v>96.541475904860533</v>
      </c>
      <c r="J10" s="197">
        <f t="shared" si="3"/>
        <v>98.955012802482045</v>
      </c>
      <c r="K10" s="197">
        <f t="shared" si="3"/>
        <v>101.42888812254409</v>
      </c>
      <c r="L10" s="197">
        <f t="shared" si="3"/>
        <v>103.96461032560768</v>
      </c>
      <c r="M10" s="197">
        <f t="shared" si="3"/>
        <v>234.57218000338358</v>
      </c>
      <c r="N10" s="197">
        <f t="shared" si="3"/>
        <v>109.22781872334156</v>
      </c>
      <c r="O10" s="197">
        <f t="shared" si="3"/>
        <v>111.9585141914251</v>
      </c>
      <c r="P10" s="197">
        <f t="shared" si="3"/>
        <v>114.75747704621072</v>
      </c>
      <c r="Q10" s="197">
        <f t="shared" si="3"/>
        <v>117.62641397236598</v>
      </c>
      <c r="R10" s="197">
        <f t="shared" si="3"/>
        <v>192.98198264658066</v>
      </c>
      <c r="S10" s="197">
        <f t="shared" si="3"/>
        <v>123.58125117971701</v>
      </c>
      <c r="T10" s="197">
        <f t="shared" si="3"/>
        <v>126.67078245920992</v>
      </c>
      <c r="U10" s="197">
        <f t="shared" si="3"/>
        <v>129.83755202069017</v>
      </c>
      <c r="V10" s="197">
        <f t="shared" si="3"/>
        <v>133.08349082120742</v>
      </c>
      <c r="W10" s="198">
        <f t="shared" si="3"/>
        <v>300.27222212077714</v>
      </c>
      <c r="X10" s="130"/>
    </row>
    <row r="11" spans="1:30">
      <c r="A11" s="74"/>
      <c r="B11" s="7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2"/>
      <c r="X11" s="130"/>
    </row>
    <row r="12" spans="1:30">
      <c r="A12" s="77">
        <v>2</v>
      </c>
      <c r="B12" s="78" t="s">
        <v>111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2"/>
      <c r="X12" s="130"/>
    </row>
    <row r="13" spans="1:30">
      <c r="A13" s="79" t="s">
        <v>8</v>
      </c>
      <c r="B13" s="80" t="s">
        <v>125</v>
      </c>
      <c r="C13" s="81">
        <f>$Q$27</f>
        <v>1091.6010022184601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2"/>
      <c r="X13" s="130"/>
    </row>
    <row r="14" spans="1:30">
      <c r="A14" s="79" t="s">
        <v>11</v>
      </c>
      <c r="B14" s="80" t="s">
        <v>127</v>
      </c>
      <c r="C14" s="81">
        <f>T27</f>
        <v>654.96060133107596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  <c r="X14" s="130"/>
    </row>
    <row r="15" spans="1:30">
      <c r="A15" s="79" t="s">
        <v>13</v>
      </c>
      <c r="B15" s="80" t="s">
        <v>97</v>
      </c>
      <c r="C15" s="81"/>
      <c r="D15" s="81">
        <f t="shared" ref="D15:W15" si="4">0.001*mwh*ene*(1+esc)^(D$1-$C$1)</f>
        <v>58.385212512394759</v>
      </c>
      <c r="E15" s="81">
        <f t="shared" si="4"/>
        <v>59.84484282520463</v>
      </c>
      <c r="F15" s="81">
        <f t="shared" si="4"/>
        <v>61.340963895834747</v>
      </c>
      <c r="G15" s="81">
        <f t="shared" si="4"/>
        <v>62.874487993230609</v>
      </c>
      <c r="H15" s="81">
        <f t="shared" si="4"/>
        <v>64.446350193061363</v>
      </c>
      <c r="I15" s="81">
        <f t="shared" si="4"/>
        <v>66.057508947887897</v>
      </c>
      <c r="J15" s="81">
        <f t="shared" si="4"/>
        <v>67.708946671585096</v>
      </c>
      <c r="K15" s="81">
        <f t="shared" si="4"/>
        <v>69.401670338374714</v>
      </c>
      <c r="L15" s="81">
        <f t="shared" si="4"/>
        <v>71.136712096834074</v>
      </c>
      <c r="M15" s="81">
        <f t="shared" si="4"/>
        <v>72.915129899254921</v>
      </c>
      <c r="N15" s="81">
        <f t="shared" si="4"/>
        <v>74.738008146736291</v>
      </c>
      <c r="O15" s="81">
        <f t="shared" si="4"/>
        <v>76.606458350404694</v>
      </c>
      <c r="P15" s="81">
        <f t="shared" si="4"/>
        <v>78.521619809164818</v>
      </c>
      <c r="Q15" s="81">
        <f t="shared" si="4"/>
        <v>80.484660304393927</v>
      </c>
      <c r="R15" s="81">
        <f t="shared" si="4"/>
        <v>82.496776812003787</v>
      </c>
      <c r="S15" s="81">
        <f t="shared" si="4"/>
        <v>84.559196232303876</v>
      </c>
      <c r="T15" s="81">
        <f t="shared" si="4"/>
        <v>86.673176138111458</v>
      </c>
      <c r="U15" s="81">
        <f t="shared" si="4"/>
        <v>88.840005541564253</v>
      </c>
      <c r="V15" s="81">
        <f t="shared" si="4"/>
        <v>91.061005680103349</v>
      </c>
      <c r="W15" s="82">
        <f t="shared" si="4"/>
        <v>93.337530822105933</v>
      </c>
      <c r="X15" s="130"/>
    </row>
    <row r="16" spans="1:30">
      <c r="A16" s="79" t="s">
        <v>16</v>
      </c>
      <c r="B16" s="80" t="s">
        <v>98</v>
      </c>
      <c r="C16" s="81"/>
      <c r="D16" s="81">
        <f t="shared" ref="D16:W16" si="5">0.001*mwh*$K$29*(1+esc)^(D$1-$C$1)</f>
        <v>11.677042502478953</v>
      </c>
      <c r="E16" s="81">
        <f t="shared" si="5"/>
        <v>11.968968565040926</v>
      </c>
      <c r="F16" s="81">
        <f t="shared" si="5"/>
        <v>12.268192779166949</v>
      </c>
      <c r="G16" s="81">
        <f t="shared" si="5"/>
        <v>12.574897598646121</v>
      </c>
      <c r="H16" s="81">
        <f t="shared" si="5"/>
        <v>12.889270038612272</v>
      </c>
      <c r="I16" s="81">
        <f t="shared" si="5"/>
        <v>13.211501789577579</v>
      </c>
      <c r="J16" s="81">
        <f t="shared" si="5"/>
        <v>13.541789334317018</v>
      </c>
      <c r="K16" s="81">
        <f t="shared" si="5"/>
        <v>13.880334067674942</v>
      </c>
      <c r="L16" s="81">
        <f t="shared" si="5"/>
        <v>14.227342419366813</v>
      </c>
      <c r="M16" s="81">
        <f t="shared" si="5"/>
        <v>14.583025979850985</v>
      </c>
      <c r="N16" s="81">
        <f t="shared" si="5"/>
        <v>14.947601629347259</v>
      </c>
      <c r="O16" s="81">
        <f t="shared" si="5"/>
        <v>15.321291670080939</v>
      </c>
      <c r="P16" s="81">
        <f t="shared" si="5"/>
        <v>15.704323961832962</v>
      </c>
      <c r="Q16" s="81">
        <f t="shared" si="5"/>
        <v>16.096932060878785</v>
      </c>
      <c r="R16" s="81">
        <f t="shared" si="5"/>
        <v>16.499355362400756</v>
      </c>
      <c r="S16" s="81">
        <f t="shared" si="5"/>
        <v>16.911839246460772</v>
      </c>
      <c r="T16" s="81">
        <f t="shared" si="5"/>
        <v>17.334635227622289</v>
      </c>
      <c r="U16" s="81">
        <f t="shared" si="5"/>
        <v>17.768001108312848</v>
      </c>
      <c r="V16" s="81">
        <f t="shared" si="5"/>
        <v>18.212201136020671</v>
      </c>
      <c r="W16" s="81">
        <f t="shared" si="5"/>
        <v>18.667506164421184</v>
      </c>
      <c r="X16" s="105"/>
    </row>
    <row r="17" spans="1:24">
      <c r="A17" s="79" t="s">
        <v>19</v>
      </c>
      <c r="B17" s="80" t="s">
        <v>117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2"/>
      <c r="X17" s="130"/>
    </row>
    <row r="18" spans="1:24">
      <c r="A18" s="79" t="s">
        <v>21</v>
      </c>
      <c r="B18" s="80" t="s">
        <v>150</v>
      </c>
      <c r="C18" s="81"/>
      <c r="D18" s="81">
        <f t="shared" ref="D18:W18" si="6">0.001*cap*12*(dem)*(1+esc)^(D$1-$C$1)</f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1">
        <f t="shared" si="6"/>
        <v>0</v>
      </c>
      <c r="P18" s="81">
        <f t="shared" si="6"/>
        <v>0</v>
      </c>
      <c r="Q18" s="81">
        <f t="shared" si="6"/>
        <v>0</v>
      </c>
      <c r="R18" s="81">
        <f t="shared" si="6"/>
        <v>0</v>
      </c>
      <c r="S18" s="81">
        <f t="shared" si="6"/>
        <v>0</v>
      </c>
      <c r="T18" s="81">
        <f t="shared" si="6"/>
        <v>0</v>
      </c>
      <c r="U18" s="81">
        <f t="shared" si="6"/>
        <v>0</v>
      </c>
      <c r="V18" s="81">
        <f t="shared" si="6"/>
        <v>0</v>
      </c>
      <c r="W18" s="82">
        <f t="shared" si="6"/>
        <v>0</v>
      </c>
      <c r="X18" s="130"/>
    </row>
    <row r="19" spans="1:24">
      <c r="A19" s="199" t="s">
        <v>35</v>
      </c>
      <c r="B19" s="355" t="s">
        <v>426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202">
        <f>IF($V$23&lt;=0,0,(1+esc)*$V$23/(dis-esc))</f>
        <v>0</v>
      </c>
      <c r="X19" s="130"/>
    </row>
    <row r="20" spans="1:24">
      <c r="A20" s="195" t="s">
        <v>36</v>
      </c>
      <c r="B20" s="196" t="s">
        <v>99</v>
      </c>
      <c r="C20" s="197">
        <f>SUM(C13:C19)</f>
        <v>1746.5616035495359</v>
      </c>
      <c r="D20" s="197">
        <f t="shared" ref="D20:W20" si="7">SUM(D13:D19)</f>
        <v>70.062255014873713</v>
      </c>
      <c r="E20" s="197">
        <f t="shared" si="7"/>
        <v>71.813811390245561</v>
      </c>
      <c r="F20" s="197">
        <f t="shared" si="7"/>
        <v>73.609156675001699</v>
      </c>
      <c r="G20" s="197">
        <f t="shared" si="7"/>
        <v>75.449385591876734</v>
      </c>
      <c r="H20" s="197">
        <f t="shared" si="7"/>
        <v>77.33562023167363</v>
      </c>
      <c r="I20" s="197">
        <f t="shared" si="7"/>
        <v>79.269010737465479</v>
      </c>
      <c r="J20" s="197">
        <f t="shared" si="7"/>
        <v>81.250736005902112</v>
      </c>
      <c r="K20" s="197">
        <f t="shared" si="7"/>
        <v>83.282004406049651</v>
      </c>
      <c r="L20" s="197">
        <f t="shared" si="7"/>
        <v>85.364054516200895</v>
      </c>
      <c r="M20" s="197">
        <f t="shared" si="7"/>
        <v>87.498155879105909</v>
      </c>
      <c r="N20" s="197">
        <f t="shared" si="7"/>
        <v>89.685609776083552</v>
      </c>
      <c r="O20" s="197">
        <f t="shared" si="7"/>
        <v>91.927750020485632</v>
      </c>
      <c r="P20" s="197">
        <f t="shared" si="7"/>
        <v>94.225943770997787</v>
      </c>
      <c r="Q20" s="197">
        <f t="shared" si="7"/>
        <v>96.581592365272712</v>
      </c>
      <c r="R20" s="197">
        <f t="shared" si="7"/>
        <v>98.996132174404551</v>
      </c>
      <c r="S20" s="197">
        <f t="shared" si="7"/>
        <v>101.47103547876465</v>
      </c>
      <c r="T20" s="197">
        <f t="shared" si="7"/>
        <v>104.00781136573374</v>
      </c>
      <c r="U20" s="197">
        <f t="shared" si="7"/>
        <v>106.6080066498771</v>
      </c>
      <c r="V20" s="197">
        <f t="shared" si="7"/>
        <v>109.27320681612402</v>
      </c>
      <c r="W20" s="197">
        <f t="shared" si="7"/>
        <v>112.00503698652712</v>
      </c>
      <c r="X20" s="105"/>
    </row>
    <row r="21" spans="1:2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  <c r="X21" s="344">
        <f>0.5*C4*(1+esc)^20</f>
        <v>3577.4306969452823</v>
      </c>
    </row>
    <row r="22" spans="1:24">
      <c r="A22" s="77">
        <v>3</v>
      </c>
      <c r="B22" s="78" t="s">
        <v>112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6"/>
      <c r="X22" s="344">
        <f>(1+esc)*V23/(dis-esc)</f>
        <v>-976.22164420841932</v>
      </c>
    </row>
    <row r="23" spans="1:24">
      <c r="A23" s="79" t="s">
        <v>8</v>
      </c>
      <c r="B23" s="80" t="s">
        <v>100</v>
      </c>
      <c r="C23" s="81">
        <f t="shared" ref="C23:W23" si="8">C20-C10</f>
        <v>-2619.8424053243043</v>
      </c>
      <c r="D23" s="81">
        <f t="shared" si="8"/>
        <v>-15.266342395788158</v>
      </c>
      <c r="E23" s="81">
        <f t="shared" si="8"/>
        <v>-15.648000955682861</v>
      </c>
      <c r="F23" s="81">
        <f t="shared" si="8"/>
        <v>-16.039200979574915</v>
      </c>
      <c r="G23" s="81">
        <f t="shared" si="8"/>
        <v>-16.440181004064314</v>
      </c>
      <c r="H23" s="81">
        <f t="shared" si="8"/>
        <v>-73.421596173697168</v>
      </c>
      <c r="I23" s="81">
        <f t="shared" si="8"/>
        <v>-17.272465167395055</v>
      </c>
      <c r="J23" s="81">
        <f t="shared" si="8"/>
        <v>-17.704276796579933</v>
      </c>
      <c r="K23" s="81">
        <f t="shared" si="8"/>
        <v>-18.146883716494443</v>
      </c>
      <c r="L23" s="81">
        <f t="shared" si="8"/>
        <v>-18.600555809406785</v>
      </c>
      <c r="M23" s="81">
        <f t="shared" si="8"/>
        <v>-147.07402412427768</v>
      </c>
      <c r="N23" s="81">
        <f t="shared" si="8"/>
        <v>-19.542208947258004</v>
      </c>
      <c r="O23" s="81">
        <f t="shared" si="8"/>
        <v>-20.030764170939463</v>
      </c>
      <c r="P23" s="81">
        <f t="shared" si="8"/>
        <v>-20.531533275212936</v>
      </c>
      <c r="Q23" s="81">
        <f t="shared" si="8"/>
        <v>-21.044821607093269</v>
      </c>
      <c r="R23" s="81">
        <f t="shared" si="8"/>
        <v>-93.985850472176111</v>
      </c>
      <c r="S23" s="81">
        <f t="shared" si="8"/>
        <v>-22.110215700952367</v>
      </c>
      <c r="T23" s="81">
        <f t="shared" si="8"/>
        <v>-22.662971093476173</v>
      </c>
      <c r="U23" s="81">
        <f t="shared" si="8"/>
        <v>-23.229545370813071</v>
      </c>
      <c r="V23" s="81">
        <f t="shared" si="8"/>
        <v>-23.810284005083403</v>
      </c>
      <c r="W23" s="82">
        <f t="shared" si="8"/>
        <v>-188.26718513425004</v>
      </c>
      <c r="X23" s="130"/>
    </row>
    <row r="24" spans="1:24">
      <c r="A24" s="79" t="s">
        <v>11</v>
      </c>
      <c r="B24" s="80" t="s">
        <v>101</v>
      </c>
      <c r="C24" s="81">
        <f>C23</f>
        <v>-2619.8424053243043</v>
      </c>
      <c r="D24" s="81">
        <f t="shared" ref="D24:W24" si="9">D23/(1+dis)^(D$1-$C$1)</f>
        <v>-14.539373710274436</v>
      </c>
      <c r="E24" s="81">
        <f t="shared" si="9"/>
        <v>-14.193198145744091</v>
      </c>
      <c r="F24" s="81">
        <f t="shared" si="9"/>
        <v>-13.855264856559691</v>
      </c>
      <c r="G24" s="81">
        <f t="shared" si="9"/>
        <v>-13.525377598070198</v>
      </c>
      <c r="H24" s="81">
        <f t="shared" si="9"/>
        <v>-57.527741785972218</v>
      </c>
      <c r="I24" s="81">
        <f t="shared" si="9"/>
        <v>-12.888979445780036</v>
      </c>
      <c r="J24" s="81">
        <f t="shared" si="9"/>
        <v>-12.582098982785272</v>
      </c>
      <c r="K24" s="81">
        <f t="shared" si="9"/>
        <v>-12.28252519748087</v>
      </c>
      <c r="L24" s="81">
        <f t="shared" si="9"/>
        <v>-11.99008412135036</v>
      </c>
      <c r="M24" s="81">
        <f t="shared" si="9"/>
        <v>-90.290692661467432</v>
      </c>
      <c r="N24" s="81">
        <f t="shared" si="9"/>
        <v>-11.425924834461426</v>
      </c>
      <c r="O24" s="81">
        <f t="shared" si="9"/>
        <v>-11.153879005069493</v>
      </c>
      <c r="P24" s="81">
        <f t="shared" si="9"/>
        <v>-10.888310457329736</v>
      </c>
      <c r="Q24" s="81">
        <f t="shared" si="9"/>
        <v>-10.629064970250463</v>
      </c>
      <c r="R24" s="81">
        <f t="shared" si="9"/>
        <v>-45.208801055737993</v>
      </c>
      <c r="S24" s="81">
        <f t="shared" si="9"/>
        <v>-10.128944566321442</v>
      </c>
      <c r="T24" s="81">
        <f t="shared" si="9"/>
        <v>-9.8877792195042638</v>
      </c>
      <c r="U24" s="81">
        <f t="shared" si="9"/>
        <v>-9.6523559047541596</v>
      </c>
      <c r="V24" s="81">
        <f t="shared" si="9"/>
        <v>-9.4225379070219191</v>
      </c>
      <c r="W24" s="82">
        <f t="shared" si="9"/>
        <v>-70.955922047202961</v>
      </c>
      <c r="X24" s="130"/>
    </row>
    <row r="25" spans="1:24">
      <c r="A25" s="79" t="s">
        <v>13</v>
      </c>
      <c r="B25" s="80" t="s">
        <v>102</v>
      </c>
      <c r="C25" s="81">
        <f>C23</f>
        <v>-2619.8424053243043</v>
      </c>
      <c r="D25" s="81">
        <f>SUM($C24:D24)</f>
        <v>-2634.3817790345788</v>
      </c>
      <c r="E25" s="81">
        <f>SUM($C24:E24)</f>
        <v>-2648.574977180323</v>
      </c>
      <c r="F25" s="81">
        <f>SUM($C24:F24)</f>
        <v>-2662.4302420368826</v>
      </c>
      <c r="G25" s="81">
        <f>SUM($C24:G24)</f>
        <v>-2675.9556196349527</v>
      </c>
      <c r="H25" s="81">
        <f>SUM($C24:H24)</f>
        <v>-2733.4833614209247</v>
      </c>
      <c r="I25" s="81">
        <f>SUM($C24:I24)</f>
        <v>-2746.3723408667047</v>
      </c>
      <c r="J25" s="81">
        <f>SUM($C24:J24)</f>
        <v>-2758.95443984949</v>
      </c>
      <c r="K25" s="81">
        <f>SUM($C24:K24)</f>
        <v>-2771.2369650469709</v>
      </c>
      <c r="L25" s="81">
        <f>SUM($C24:L24)</f>
        <v>-2783.2270491683212</v>
      </c>
      <c r="M25" s="81">
        <f>SUM($C24:M24)</f>
        <v>-2873.5177418297885</v>
      </c>
      <c r="N25" s="81">
        <f>SUM($C24:N24)</f>
        <v>-2884.94366666425</v>
      </c>
      <c r="O25" s="81">
        <f>SUM($C24:O24)</f>
        <v>-2896.0975456693195</v>
      </c>
      <c r="P25" s="81">
        <f>SUM($C24:P24)</f>
        <v>-2906.9858561266492</v>
      </c>
      <c r="Q25" s="81">
        <f>SUM($C24:Q24)</f>
        <v>-2917.6149210968997</v>
      </c>
      <c r="R25" s="81">
        <f>SUM($C24:R24)</f>
        <v>-2962.8237221526379</v>
      </c>
      <c r="S25" s="81">
        <f>SUM($C24:S24)</f>
        <v>-2972.9526667189593</v>
      </c>
      <c r="T25" s="81">
        <f>SUM($C24:T24)</f>
        <v>-2982.8404459384637</v>
      </c>
      <c r="U25" s="81">
        <f>SUM($C24:U24)</f>
        <v>-2992.4928018432179</v>
      </c>
      <c r="V25" s="81">
        <f>SUM($C24:V24)</f>
        <v>-3001.9153397502396</v>
      </c>
      <c r="W25" s="82">
        <f>SUM($C24:W24)</f>
        <v>-3072.8712617974425</v>
      </c>
      <c r="X25" s="130"/>
    </row>
    <row r="26" spans="1:24">
      <c r="A26" s="74"/>
      <c r="B26" s="75"/>
      <c r="C26" s="75"/>
      <c r="D26" s="83"/>
      <c r="E26" s="83"/>
      <c r="F26" s="75"/>
      <c r="G26" s="75"/>
      <c r="H26" s="75"/>
      <c r="I26" s="75"/>
      <c r="J26" s="75"/>
      <c r="K26" s="216"/>
      <c r="L26" s="75"/>
      <c r="M26" s="75"/>
      <c r="N26" s="216"/>
      <c r="O26" s="75"/>
      <c r="P26" s="75"/>
      <c r="Q26" s="216"/>
      <c r="R26" s="75"/>
      <c r="S26" s="75"/>
      <c r="T26" s="216"/>
      <c r="U26" s="75"/>
      <c r="V26" s="75"/>
      <c r="W26" s="76"/>
      <c r="X26" s="129"/>
    </row>
    <row r="27" spans="1:24">
      <c r="A27" s="74"/>
      <c r="B27" s="84" t="s">
        <v>103</v>
      </c>
      <c r="C27" s="75"/>
      <c r="D27" s="75" t="s">
        <v>104</v>
      </c>
      <c r="E27" s="122">
        <f>'Summary - Cash'!C9</f>
        <v>2.5000000000000001E-2</v>
      </c>
      <c r="F27" s="75"/>
      <c r="G27" s="75" t="s">
        <v>105</v>
      </c>
      <c r="H27" s="122">
        <f>'Summary - Cash'!F9</f>
        <v>0.05</v>
      </c>
      <c r="I27" s="75"/>
      <c r="J27" s="214" t="s">
        <v>106</v>
      </c>
      <c r="K27" s="218">
        <f>Energy!J5</f>
        <v>455.68946351137379</v>
      </c>
      <c r="L27" s="215"/>
      <c r="M27" s="220" t="s">
        <v>153</v>
      </c>
      <c r="N27" s="221">
        <f>Energy!I5</f>
        <v>155.61405020188778</v>
      </c>
      <c r="O27" s="215"/>
      <c r="P27" s="219" t="s">
        <v>125</v>
      </c>
      <c r="Q27" s="218">
        <f>'Summary - Cash'!$B15*'Summary - Cash'!$F15</f>
        <v>1091.6010022184601</v>
      </c>
      <c r="R27" s="215"/>
      <c r="S27" s="219" t="s">
        <v>126</v>
      </c>
      <c r="T27" s="218">
        <f>'Summary - Cash'!$B15*'Summary - Cash'!$G15</f>
        <v>654.96060133107596</v>
      </c>
      <c r="U27" s="215"/>
      <c r="V27" s="75"/>
      <c r="W27" s="76"/>
      <c r="X27" s="129"/>
    </row>
    <row r="28" spans="1:24">
      <c r="A28" s="74"/>
      <c r="B28" s="75"/>
      <c r="C28" s="75"/>
      <c r="D28" s="75"/>
      <c r="E28" s="216"/>
      <c r="F28" s="75"/>
      <c r="G28" s="75"/>
      <c r="H28" s="75"/>
      <c r="I28" s="75"/>
      <c r="J28" s="75"/>
      <c r="K28" s="217"/>
      <c r="L28" s="75"/>
      <c r="M28" s="75"/>
      <c r="N28" s="204"/>
      <c r="O28" s="75"/>
      <c r="P28" s="75"/>
      <c r="Q28" s="204"/>
      <c r="R28" s="75"/>
      <c r="S28" s="75"/>
      <c r="T28" s="204"/>
      <c r="U28" s="75"/>
      <c r="V28" s="75"/>
      <c r="W28" s="76"/>
      <c r="X28" s="129"/>
    </row>
    <row r="29" spans="1:24">
      <c r="A29" s="74"/>
      <c r="B29" s="75"/>
      <c r="C29" s="75"/>
      <c r="D29" s="223" t="s">
        <v>107</v>
      </c>
      <c r="E29" s="218">
        <f>'Summary - Cash'!H14</f>
        <v>125</v>
      </c>
      <c r="F29" s="215" t="s">
        <v>119</v>
      </c>
      <c r="G29" s="336" t="s">
        <v>382</v>
      </c>
      <c r="H29" s="93"/>
      <c r="I29" s="85" t="s">
        <v>152</v>
      </c>
      <c r="J29" s="219" t="s">
        <v>108</v>
      </c>
      <c r="K29" s="218">
        <f>'Summary - Cash'!C10</f>
        <v>25</v>
      </c>
      <c r="L29" s="215" t="s">
        <v>119</v>
      </c>
      <c r="M29" s="86" t="s">
        <v>120</v>
      </c>
      <c r="N29" s="231">
        <v>0</v>
      </c>
      <c r="O29" s="88" t="s">
        <v>109</v>
      </c>
      <c r="P29" s="89" t="s">
        <v>118</v>
      </c>
      <c r="Q29" s="87"/>
      <c r="R29" s="75" t="s">
        <v>119</v>
      </c>
      <c r="S29" s="75"/>
      <c r="T29" s="75"/>
      <c r="U29" s="75"/>
      <c r="V29" s="75"/>
      <c r="W29" s="76"/>
      <c r="X29" s="129"/>
    </row>
    <row r="30" spans="1:24">
      <c r="A30" s="74"/>
      <c r="B30" s="75"/>
      <c r="C30" s="75"/>
      <c r="D30" s="75"/>
      <c r="E30" s="204"/>
      <c r="F30" s="75"/>
      <c r="G30" s="75"/>
      <c r="H30" s="75"/>
      <c r="I30" s="75"/>
      <c r="J30" s="75"/>
      <c r="K30" s="204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  <c r="X30" s="129"/>
    </row>
    <row r="31" spans="1:24">
      <c r="A31" s="74"/>
      <c r="B31" s="90" t="s">
        <v>121</v>
      </c>
      <c r="C31" s="75"/>
      <c r="D31" s="75"/>
      <c r="E31" s="75" t="s">
        <v>122</v>
      </c>
      <c r="F31" s="75"/>
      <c r="G31" s="75"/>
      <c r="H31" s="91" t="e">
        <f>IRR($C23:$W23)</f>
        <v>#DIV/0!</v>
      </c>
      <c r="I31" s="85"/>
      <c r="J31" s="85" t="s">
        <v>102</v>
      </c>
      <c r="K31" s="92">
        <f>$W25</f>
        <v>-3072.8712617974425</v>
      </c>
      <c r="L31" s="104"/>
      <c r="M31" s="85"/>
      <c r="N31" s="85"/>
      <c r="O31" s="85"/>
      <c r="P31" s="86" t="s">
        <v>123</v>
      </c>
      <c r="Q31" s="93">
        <f>MATCH(1,D25:W25)</f>
        <v>20</v>
      </c>
      <c r="R31" s="75"/>
      <c r="S31" s="75"/>
      <c r="T31" s="75"/>
      <c r="U31" s="75"/>
      <c r="V31" s="75"/>
      <c r="W31" s="76"/>
      <c r="X31" s="129"/>
    </row>
    <row r="32" spans="1:24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6"/>
    </row>
    <row r="33" spans="1:13">
      <c r="B33" s="2" t="s">
        <v>113</v>
      </c>
      <c r="D33" s="3"/>
      <c r="E33" s="3"/>
      <c r="F33" s="3"/>
      <c r="G33" s="3"/>
      <c r="H33" s="3"/>
    </row>
    <row r="34" spans="1:13">
      <c r="A34">
        <v>1</v>
      </c>
      <c r="B34" t="s">
        <v>369</v>
      </c>
      <c r="D34" s="4"/>
    </row>
    <row r="35" spans="1:13">
      <c r="A35">
        <v>2</v>
      </c>
      <c r="B35" t="s">
        <v>131</v>
      </c>
      <c r="L35" s="224"/>
      <c r="M35" s="138" t="s">
        <v>307</v>
      </c>
    </row>
    <row r="36" spans="1:13">
      <c r="A36">
        <v>3</v>
      </c>
      <c r="B36" s="138" t="s">
        <v>383</v>
      </c>
      <c r="L36" s="227"/>
      <c r="M36" s="138" t="s">
        <v>308</v>
      </c>
    </row>
    <row r="37" spans="1:13">
      <c r="A37">
        <v>4</v>
      </c>
      <c r="B37" s="138" t="s">
        <v>393</v>
      </c>
    </row>
    <row r="38" spans="1:13">
      <c r="A38">
        <v>5</v>
      </c>
      <c r="B38" s="138" t="s">
        <v>425</v>
      </c>
    </row>
    <row r="41" spans="1:13">
      <c r="B41" s="6"/>
    </row>
  </sheetData>
  <sheetProtection selectLockedCells="1"/>
  <phoneticPr fontId="5" type="noConversion"/>
  <printOptions horizontalCentered="1"/>
  <pageMargins left="1" right="1" top="2.25" bottom="1" header="0.5" footer="0.5"/>
  <pageSetup paperSize="3" scale="80" orientation="landscape" r:id="rId1"/>
  <headerFooter alignWithMargins="0">
    <oddHeader>&amp;L&amp;"Arial,Bold Italic"&amp;11Privileged and Confidential&amp;C&amp;"Arial,Bold Italic"&amp;11Ten Mile River Feasibility Study
Phase 1
&amp;R&amp;"Arial,Bold Italic"&amp;11&amp;A</oddHeader>
    <oddFooter>&amp;L&amp;G&amp;C&amp;"Arial,Bold Italic"For Planning Purposes Only&amp;R&amp;"Arial,Bold Italic"&amp;F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46</vt:i4>
      </vt:variant>
      <vt:variant>
        <vt:lpstr>Named Ranges</vt:lpstr>
      </vt:variant>
      <vt:variant>
        <vt:i4>222</vt:i4>
      </vt:variant>
    </vt:vector>
  </HeadingPairs>
  <TitlesOfParts>
    <vt:vector size="268" baseType="lpstr">
      <vt:lpstr>Annual Energy Production</vt:lpstr>
      <vt:lpstr>Economics Standard IF</vt:lpstr>
      <vt:lpstr>Economics Half IF</vt:lpstr>
      <vt:lpstr>Economics No IF</vt:lpstr>
      <vt:lpstr>Hunts Mill Options</vt:lpstr>
      <vt:lpstr>Summary - Cash</vt:lpstr>
      <vt:lpstr>Energy</vt:lpstr>
      <vt:lpstr>Proforma A</vt:lpstr>
      <vt:lpstr>Proforma B</vt:lpstr>
      <vt:lpstr>Proforma B (no min flow)</vt:lpstr>
      <vt:lpstr>Proforma B (1-2 min flow)</vt:lpstr>
      <vt:lpstr>Proforma C</vt:lpstr>
      <vt:lpstr>Proforma C (no min flow)</vt:lpstr>
      <vt:lpstr>Proforma C (1-2 min flow)</vt:lpstr>
      <vt:lpstr>Proforma C-2</vt:lpstr>
      <vt:lpstr>Proforma D</vt:lpstr>
      <vt:lpstr>Proforma E</vt:lpstr>
      <vt:lpstr>Proforma E (no min flow)</vt:lpstr>
      <vt:lpstr>Proforma E (1-2 min flow)</vt:lpstr>
      <vt:lpstr>Proforma E-2</vt:lpstr>
      <vt:lpstr>Proforma E-2 (no min flow)</vt:lpstr>
      <vt:lpstr>Proforma E-3</vt:lpstr>
      <vt:lpstr>Proforma F</vt:lpstr>
      <vt:lpstr>Costs A</vt:lpstr>
      <vt:lpstr>Costs B</vt:lpstr>
      <vt:lpstr>Costs B (1-2 min flow)</vt:lpstr>
      <vt:lpstr>Costs B (no min flow)</vt:lpstr>
      <vt:lpstr>Costs C</vt:lpstr>
      <vt:lpstr>Costs C (1-2 min flow)</vt:lpstr>
      <vt:lpstr>Costs C (no min flow)</vt:lpstr>
      <vt:lpstr>Costs C - Francis Refurb</vt:lpstr>
      <vt:lpstr>Costs D</vt:lpstr>
      <vt:lpstr>Costs E</vt:lpstr>
      <vt:lpstr>Costs E (1-2 min flow)</vt:lpstr>
      <vt:lpstr>Costs E (no min flow)</vt:lpstr>
      <vt:lpstr>Costs E - Francis Repowered</vt:lpstr>
      <vt:lpstr>CostsE-FrancisRepow-no min flow</vt:lpstr>
      <vt:lpstr>Costs E - Francis Restored</vt:lpstr>
      <vt:lpstr>Costs F</vt:lpstr>
      <vt:lpstr>Costs Min Flow Unit</vt:lpstr>
      <vt:lpstr>Phase I Dam Repairs</vt:lpstr>
      <vt:lpstr>Penstock Costs</vt:lpstr>
      <vt:lpstr>Pwrhse Cost Estimator</vt:lpstr>
      <vt:lpstr>TG Costs</vt:lpstr>
      <vt:lpstr>Regulatory Costs</vt:lpstr>
      <vt:lpstr>Interconnect Costs</vt:lpstr>
      <vt:lpstr>'TG Costs'!b</vt:lpstr>
      <vt:lpstr>bb</vt:lpstr>
      <vt:lpstr>'Proforma A'!cap</vt:lpstr>
      <vt:lpstr>'Proforma B'!cap</vt:lpstr>
      <vt:lpstr>'Proforma B (1-2 min flow)'!cap</vt:lpstr>
      <vt:lpstr>'Proforma B (no min flow)'!cap</vt:lpstr>
      <vt:lpstr>'Proforma C'!cap</vt:lpstr>
      <vt:lpstr>'Proforma C (1-2 min flow)'!cap</vt:lpstr>
      <vt:lpstr>'Proforma C (no min flow)'!cap</vt:lpstr>
      <vt:lpstr>'Proforma C-2'!cap</vt:lpstr>
      <vt:lpstr>'Proforma D'!cap</vt:lpstr>
      <vt:lpstr>'Proforma E'!cap</vt:lpstr>
      <vt:lpstr>'Proforma E (1-2 min flow)'!cap</vt:lpstr>
      <vt:lpstr>'Proforma E (no min flow)'!cap</vt:lpstr>
      <vt:lpstr>'Proforma E-2'!cap</vt:lpstr>
      <vt:lpstr>'Proforma E-2 (no min flow)'!cap</vt:lpstr>
      <vt:lpstr>'Proforma E-3'!cap</vt:lpstr>
      <vt:lpstr>'Proforma F'!cap</vt:lpstr>
      <vt:lpstr>'Proforma A'!dem</vt:lpstr>
      <vt:lpstr>'Proforma B'!dem</vt:lpstr>
      <vt:lpstr>'Proforma B (1-2 min flow)'!dem</vt:lpstr>
      <vt:lpstr>'Proforma B (no min flow)'!dem</vt:lpstr>
      <vt:lpstr>'Proforma C'!dem</vt:lpstr>
      <vt:lpstr>'Proforma C (1-2 min flow)'!dem</vt:lpstr>
      <vt:lpstr>'Proforma C (no min flow)'!dem</vt:lpstr>
      <vt:lpstr>'Proforma C-2'!dem</vt:lpstr>
      <vt:lpstr>'Proforma D'!dem</vt:lpstr>
      <vt:lpstr>'Proforma E'!dem</vt:lpstr>
      <vt:lpstr>'Proforma E (1-2 min flow)'!dem</vt:lpstr>
      <vt:lpstr>'Proforma E (no min flow)'!dem</vt:lpstr>
      <vt:lpstr>'Proforma E-2'!dem</vt:lpstr>
      <vt:lpstr>'Proforma E-2 (no min flow)'!dem</vt:lpstr>
      <vt:lpstr>'Proforma E-3'!dem</vt:lpstr>
      <vt:lpstr>'Proforma F'!dem</vt:lpstr>
      <vt:lpstr>'Proforma A'!dis</vt:lpstr>
      <vt:lpstr>'Proforma B'!dis</vt:lpstr>
      <vt:lpstr>'Proforma B (1-2 min flow)'!dis</vt:lpstr>
      <vt:lpstr>'Proforma B (no min flow)'!dis</vt:lpstr>
      <vt:lpstr>'Proforma C'!dis</vt:lpstr>
      <vt:lpstr>'Proforma C (1-2 min flow)'!dis</vt:lpstr>
      <vt:lpstr>'Proforma C (no min flow)'!dis</vt:lpstr>
      <vt:lpstr>'Proforma C-2'!dis</vt:lpstr>
      <vt:lpstr>'Proforma D'!dis</vt:lpstr>
      <vt:lpstr>'Proforma E'!dis</vt:lpstr>
      <vt:lpstr>'Proforma E (1-2 min flow)'!dis</vt:lpstr>
      <vt:lpstr>'Proforma E (no min flow)'!dis</vt:lpstr>
      <vt:lpstr>'Proforma E-2'!dis</vt:lpstr>
      <vt:lpstr>'Proforma E-2 (no min flow)'!dis</vt:lpstr>
      <vt:lpstr>'Proforma E-3'!dis</vt:lpstr>
      <vt:lpstr>'Proforma F'!dis</vt:lpstr>
      <vt:lpstr>'Proforma A'!dist</vt:lpstr>
      <vt:lpstr>'Proforma B'!dist</vt:lpstr>
      <vt:lpstr>'Proforma B (1-2 min flow)'!dist</vt:lpstr>
      <vt:lpstr>'Proforma B (no min flow)'!dist</vt:lpstr>
      <vt:lpstr>'Proforma C'!dist</vt:lpstr>
      <vt:lpstr>'Proforma C (1-2 min flow)'!dist</vt:lpstr>
      <vt:lpstr>'Proforma C (no min flow)'!dist</vt:lpstr>
      <vt:lpstr>'Proforma C-2'!dist</vt:lpstr>
      <vt:lpstr>'Proforma D'!dist</vt:lpstr>
      <vt:lpstr>'Proforma E'!dist</vt:lpstr>
      <vt:lpstr>'Proforma E (1-2 min flow)'!dist</vt:lpstr>
      <vt:lpstr>'Proforma E (no min flow)'!dist</vt:lpstr>
      <vt:lpstr>'Proforma E-2'!dist</vt:lpstr>
      <vt:lpstr>'Proforma E-2 (no min flow)'!dist</vt:lpstr>
      <vt:lpstr>'Proforma E-3'!dist</vt:lpstr>
      <vt:lpstr>'Proforma F'!dist</vt:lpstr>
      <vt:lpstr>'Proforma A'!ene</vt:lpstr>
      <vt:lpstr>'Proforma B'!ene</vt:lpstr>
      <vt:lpstr>'Proforma B (1-2 min flow)'!ene</vt:lpstr>
      <vt:lpstr>'Proforma B (no min flow)'!ene</vt:lpstr>
      <vt:lpstr>'Proforma C'!ene</vt:lpstr>
      <vt:lpstr>'Proforma C (1-2 min flow)'!ene</vt:lpstr>
      <vt:lpstr>'Proforma C (no min flow)'!ene</vt:lpstr>
      <vt:lpstr>'Proforma C-2'!ene</vt:lpstr>
      <vt:lpstr>'Proforma D'!ene</vt:lpstr>
      <vt:lpstr>'Proforma E'!ene</vt:lpstr>
      <vt:lpstr>'Proforma E (1-2 min flow)'!ene</vt:lpstr>
      <vt:lpstr>'Proforma E (no min flow)'!ene</vt:lpstr>
      <vt:lpstr>'Proforma E-2'!ene</vt:lpstr>
      <vt:lpstr>'Proforma E-2 (no min flow)'!ene</vt:lpstr>
      <vt:lpstr>'Proforma E-3'!ene</vt:lpstr>
      <vt:lpstr>'Proforma F'!ene</vt:lpstr>
      <vt:lpstr>'Proforma A'!esc</vt:lpstr>
      <vt:lpstr>'Proforma B'!esc</vt:lpstr>
      <vt:lpstr>'Proforma B (1-2 min flow)'!esc</vt:lpstr>
      <vt:lpstr>'Proforma B (no min flow)'!esc</vt:lpstr>
      <vt:lpstr>'Proforma C'!esc</vt:lpstr>
      <vt:lpstr>'Proforma C (1-2 min flow)'!esc</vt:lpstr>
      <vt:lpstr>'Proforma C (no min flow)'!esc</vt:lpstr>
      <vt:lpstr>'Proforma C-2'!esc</vt:lpstr>
      <vt:lpstr>'Proforma D'!esc</vt:lpstr>
      <vt:lpstr>'Proforma E'!esc</vt:lpstr>
      <vt:lpstr>'Proforma E (1-2 min flow)'!esc</vt:lpstr>
      <vt:lpstr>'Proforma E (no min flow)'!esc</vt:lpstr>
      <vt:lpstr>'Proforma E-2'!esc</vt:lpstr>
      <vt:lpstr>'Proforma E-2 (no min flow)'!esc</vt:lpstr>
      <vt:lpstr>'Proforma E-3'!esc</vt:lpstr>
      <vt:lpstr>'Proforma F'!esc</vt:lpstr>
      <vt:lpstr>'Proforma A'!grant</vt:lpstr>
      <vt:lpstr>'Proforma B'!grant</vt:lpstr>
      <vt:lpstr>'Proforma B (1-2 min flow)'!grant</vt:lpstr>
      <vt:lpstr>'Proforma B (no min flow)'!grant</vt:lpstr>
      <vt:lpstr>'Proforma C'!grant</vt:lpstr>
      <vt:lpstr>'Proforma C (1-2 min flow)'!grant</vt:lpstr>
      <vt:lpstr>'Proforma C (no min flow)'!grant</vt:lpstr>
      <vt:lpstr>'Proforma C-2'!grant</vt:lpstr>
      <vt:lpstr>'Proforma D'!grant</vt:lpstr>
      <vt:lpstr>'Proforma E'!grant</vt:lpstr>
      <vt:lpstr>'Proforma E (1-2 min flow)'!grant</vt:lpstr>
      <vt:lpstr>'Proforma E (no min flow)'!grant</vt:lpstr>
      <vt:lpstr>'Proforma E-2'!grant</vt:lpstr>
      <vt:lpstr>'Proforma E-2 (no min flow)'!grant</vt:lpstr>
      <vt:lpstr>'Proforma E-3'!grant</vt:lpstr>
      <vt:lpstr>'Proforma F'!grant</vt:lpstr>
      <vt:lpstr>'TG Costs'!m</vt:lpstr>
      <vt:lpstr>mm</vt:lpstr>
      <vt:lpstr>'Proforma A'!mw</vt:lpstr>
      <vt:lpstr>'Proforma B'!mw</vt:lpstr>
      <vt:lpstr>'Proforma B (1-2 min flow)'!mw</vt:lpstr>
      <vt:lpstr>'Proforma B (no min flow)'!mw</vt:lpstr>
      <vt:lpstr>'Proforma C'!mw</vt:lpstr>
      <vt:lpstr>'Proforma C (1-2 min flow)'!mw</vt:lpstr>
      <vt:lpstr>'Proforma C (no min flow)'!mw</vt:lpstr>
      <vt:lpstr>'Proforma C-2'!mw</vt:lpstr>
      <vt:lpstr>'Proforma D'!mw</vt:lpstr>
      <vt:lpstr>'Proforma E'!mw</vt:lpstr>
      <vt:lpstr>'Proforma E (1-2 min flow)'!mw</vt:lpstr>
      <vt:lpstr>'Proforma E (no min flow)'!mw</vt:lpstr>
      <vt:lpstr>'Proforma E-2'!mw</vt:lpstr>
      <vt:lpstr>'Proforma E-2 (no min flow)'!mw</vt:lpstr>
      <vt:lpstr>'Proforma E-3'!mw</vt:lpstr>
      <vt:lpstr>'Proforma F'!mw</vt:lpstr>
      <vt:lpstr>'Proforma A'!mwh</vt:lpstr>
      <vt:lpstr>'Proforma B'!mwh</vt:lpstr>
      <vt:lpstr>'Proforma B (1-2 min flow)'!mwh</vt:lpstr>
      <vt:lpstr>'Proforma B (no min flow)'!mwh</vt:lpstr>
      <vt:lpstr>'Proforma C'!mwh</vt:lpstr>
      <vt:lpstr>'Proforma C (1-2 min flow)'!mwh</vt:lpstr>
      <vt:lpstr>'Proforma C (no min flow)'!mwh</vt:lpstr>
      <vt:lpstr>'Proforma C-2'!mwh</vt:lpstr>
      <vt:lpstr>'Proforma D'!mwh</vt:lpstr>
      <vt:lpstr>'Proforma E'!mwh</vt:lpstr>
      <vt:lpstr>'Proforma E (1-2 min flow)'!mwh</vt:lpstr>
      <vt:lpstr>'Proforma E (no min flow)'!mwh</vt:lpstr>
      <vt:lpstr>'Proforma E-2'!mwh</vt:lpstr>
      <vt:lpstr>'Proforma E-2 (no min flow)'!mwh</vt:lpstr>
      <vt:lpstr>'Proforma E-3'!mwh</vt:lpstr>
      <vt:lpstr>'Proforma F'!mwh</vt:lpstr>
      <vt:lpstr>'Costs A'!Print_Area</vt:lpstr>
      <vt:lpstr>'Costs B'!Print_Area</vt:lpstr>
      <vt:lpstr>'Costs B (1-2 min flow)'!Print_Area</vt:lpstr>
      <vt:lpstr>'Costs B (no min flow)'!Print_Area</vt:lpstr>
      <vt:lpstr>'Costs C'!Print_Area</vt:lpstr>
      <vt:lpstr>'Costs C - Francis Refurb'!Print_Area</vt:lpstr>
      <vt:lpstr>'Costs C (1-2 min flow)'!Print_Area</vt:lpstr>
      <vt:lpstr>'Costs C (no min flow)'!Print_Area</vt:lpstr>
      <vt:lpstr>'Costs D'!Print_Area</vt:lpstr>
      <vt:lpstr>'Costs E'!Print_Area</vt:lpstr>
      <vt:lpstr>'Costs E - Francis Repowered'!Print_Area</vt:lpstr>
      <vt:lpstr>'Costs E - Francis Restored'!Print_Area</vt:lpstr>
      <vt:lpstr>'Costs E (1-2 min flow)'!Print_Area</vt:lpstr>
      <vt:lpstr>'Costs E (no min flow)'!Print_Area</vt:lpstr>
      <vt:lpstr>'Costs F'!Print_Area</vt:lpstr>
      <vt:lpstr>'Costs Min Flow Unit'!Print_Area</vt:lpstr>
      <vt:lpstr>'CostsE-FrancisRepow-no min flow'!Print_Area</vt:lpstr>
      <vt:lpstr>Energy!Print_Area</vt:lpstr>
      <vt:lpstr>'Interconnect Costs'!Print_Area</vt:lpstr>
      <vt:lpstr>'Penstock Costs'!Print_Area</vt:lpstr>
      <vt:lpstr>'Phase I Dam Repairs'!Print_Area</vt:lpstr>
      <vt:lpstr>'Proforma A'!Print_Area</vt:lpstr>
      <vt:lpstr>'Proforma B'!Print_Area</vt:lpstr>
      <vt:lpstr>'Proforma B (1-2 min flow)'!Print_Area</vt:lpstr>
      <vt:lpstr>'Proforma B (no min flow)'!Print_Area</vt:lpstr>
      <vt:lpstr>'Proforma C'!Print_Area</vt:lpstr>
      <vt:lpstr>'Proforma C (1-2 min flow)'!Print_Area</vt:lpstr>
      <vt:lpstr>'Proforma C (no min flow)'!Print_Area</vt:lpstr>
      <vt:lpstr>'Proforma C-2'!Print_Area</vt:lpstr>
      <vt:lpstr>'Proforma D'!Print_Area</vt:lpstr>
      <vt:lpstr>'Proforma E'!Print_Area</vt:lpstr>
      <vt:lpstr>'Proforma E (1-2 min flow)'!Print_Area</vt:lpstr>
      <vt:lpstr>'Proforma E (no min flow)'!Print_Area</vt:lpstr>
      <vt:lpstr>'Proforma E-2'!Print_Area</vt:lpstr>
      <vt:lpstr>'Proforma E-2 (no min flow)'!Print_Area</vt:lpstr>
      <vt:lpstr>'Proforma E-3'!Print_Area</vt:lpstr>
      <vt:lpstr>'Proforma F'!Print_Area</vt:lpstr>
      <vt:lpstr>'Pwrhse Cost Estimator'!Print_Area</vt:lpstr>
      <vt:lpstr>'Regulatory Costs'!Print_Area</vt:lpstr>
      <vt:lpstr>'Summary - Cash'!Print_Area</vt:lpstr>
      <vt:lpstr>'TG Costs'!Print_Area</vt:lpstr>
      <vt:lpstr>'Costs A'!Print_Titles</vt:lpstr>
      <vt:lpstr>'Costs B'!Print_Titles</vt:lpstr>
      <vt:lpstr>'Costs B (1-2 min flow)'!Print_Titles</vt:lpstr>
      <vt:lpstr>'Costs B (no min flow)'!Print_Titles</vt:lpstr>
      <vt:lpstr>'Costs C'!Print_Titles</vt:lpstr>
      <vt:lpstr>'Costs C - Francis Refurb'!Print_Titles</vt:lpstr>
      <vt:lpstr>'Costs C (1-2 min flow)'!Print_Titles</vt:lpstr>
      <vt:lpstr>'Costs C (no min flow)'!Print_Titles</vt:lpstr>
      <vt:lpstr>'Costs D'!Print_Titles</vt:lpstr>
      <vt:lpstr>'Costs E'!Print_Titles</vt:lpstr>
      <vt:lpstr>'Costs E - Francis Repowered'!Print_Titles</vt:lpstr>
      <vt:lpstr>'Costs E - Francis Restored'!Print_Titles</vt:lpstr>
      <vt:lpstr>'Costs E (1-2 min flow)'!Print_Titles</vt:lpstr>
      <vt:lpstr>'Costs E (no min flow)'!Print_Titles</vt:lpstr>
      <vt:lpstr>'Costs F'!Print_Titles</vt:lpstr>
      <vt:lpstr>'Costs Min Flow Unit'!Print_Titles</vt:lpstr>
      <vt:lpstr>'CostsE-FrancisRepow-no min flow'!Print_Titles</vt:lpstr>
      <vt:lpstr>'Proforma A'!rec</vt:lpstr>
      <vt:lpstr>'Proforma B'!rec</vt:lpstr>
      <vt:lpstr>'Proforma B (1-2 min flow)'!rec</vt:lpstr>
      <vt:lpstr>'Proforma B (no min flow)'!rec</vt:lpstr>
      <vt:lpstr>'Proforma C'!rec</vt:lpstr>
      <vt:lpstr>'Proforma C (1-2 min flow)'!rec</vt:lpstr>
      <vt:lpstr>'Proforma C (no min flow)'!rec</vt:lpstr>
      <vt:lpstr>'Proforma C-2'!rec</vt:lpstr>
      <vt:lpstr>'Proforma D'!rec</vt:lpstr>
      <vt:lpstr>'Proforma E'!rec</vt:lpstr>
      <vt:lpstr>'Proforma E (1-2 min flow)'!rec</vt:lpstr>
      <vt:lpstr>'Proforma E (no min flow)'!rec</vt:lpstr>
      <vt:lpstr>'Proforma E-2'!rec</vt:lpstr>
      <vt:lpstr>'Proforma E-2 (no min flow)'!rec</vt:lpstr>
      <vt:lpstr>'Proforma E-3'!rec</vt:lpstr>
      <vt:lpstr>'Proforma F'!rec</vt:lpstr>
    </vt:vector>
  </TitlesOfParts>
  <Company>Essex Partnership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Szufnarowski</dc:creator>
  <cp:lastModifiedBy>jpetrillo</cp:lastModifiedBy>
  <cp:lastPrinted>2011-01-07T17:12:54Z</cp:lastPrinted>
  <dcterms:created xsi:type="dcterms:W3CDTF">2007-11-06T19:41:59Z</dcterms:created>
  <dcterms:modified xsi:type="dcterms:W3CDTF">2011-01-07T17:56:15Z</dcterms:modified>
</cp:coreProperties>
</file>